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jcampana\Documents\2022\RENDICION DE CUENTAS 2021\INF RECIBIDA\PRESUPÚESTO\"/>
    </mc:Choice>
  </mc:AlternateContent>
  <bookViews>
    <workbookView xWindow="0" yWindow="0" windowWidth="19200" windowHeight="10575" activeTab="3"/>
  </bookViews>
  <sheets>
    <sheet name="Resumen" sheetId="24" r:id="rId1"/>
    <sheet name="Gast. Administrativo" sheetId="6" r:id="rId2"/>
    <sheet name="Infraest.Comunitaria" sheetId="4" r:id="rId3"/>
    <sheet name="Pres. Participat" sheetId="5" r:id="rId4"/>
    <sheet name="Somos Quito" sheetId="7" r:id="rId5"/>
    <sheet name="Sist. Particip. Ciudadana" sheetId="8" r:id="rId6"/>
    <sheet name="Volunt.Quito Acción" sheetId="9" r:id="rId7"/>
    <sheet name="Colonias Vacacionales" sheetId="10" r:id="rId8"/>
    <sheet name="Agenda Cult.Metrop." sheetId="11" r:id="rId9"/>
    <sheet name="Territorio y Cultura" sheetId="14" r:id="rId10"/>
    <sheet name="Promoc. Derech Grup Atención" sheetId="15" r:id="rId11"/>
    <sheet name="Segur.Aliment Calidad" sheetId="16" r:id="rId12"/>
    <sheet name="Sist.Integral.Promoc.Salud" sheetId="18" r:id="rId13"/>
    <sheet name="Manej.Fauna Urbana" sheetId="19" r:id="rId14"/>
    <sheet name="Prevenc.Situac.Conv.Pacífica" sheetId="20" r:id="rId15"/>
    <sheet name="Atención Emergencias" sheetId="21" r:id="rId16"/>
    <sheet name="Fomento Produc.Territorial" sheetId="22" r:id="rId17"/>
  </sheets>
  <definedNames>
    <definedName name="_xlnm._FilterDatabase" localSheetId="15" hidden="1">'Atención Emergencias'!$A$4:$V$4</definedName>
    <definedName name="_xlnm._FilterDatabase" localSheetId="16" hidden="1">'Fomento Produc.Territorial'!$A$4:$S$18</definedName>
    <definedName name="_xlnm._FilterDatabase" localSheetId="1" hidden="1">'Gast. Administrativo'!$A$4:$S$4</definedName>
    <definedName name="_xlnm._FilterDatabase" localSheetId="2" hidden="1">Infraest.Comunitaria!$A$4:$U$4</definedName>
    <definedName name="_xlnm._FilterDatabase" localSheetId="3" hidden="1">'Pres. Participat'!$A$4:$U$213</definedName>
    <definedName name="_xlnm._FilterDatabase" localSheetId="10" hidden="1">'Promoc. Derech Grup Atención'!$A$4:$S$15</definedName>
    <definedName name="_xlnm._FilterDatabase" localSheetId="4" hidden="1">'Somos Quito'!$A$4:$S$15</definedName>
    <definedName name="_xlnm._FilterDatabase" localSheetId="6" hidden="1">'Volunt.Quito Acción'!$A$4:$S$12</definedName>
    <definedName name="ATRAS">Infraest.Comunitaria!$R$50</definedName>
    <definedName name="Resumen_A1">Infraest.Comunitaria!$R$50</definedName>
    <definedName name="_xlnm.Print_Titles" localSheetId="1">'Gast. Administrativo'!$4:$4</definedName>
    <definedName name="_xlnm.Print_Titles" localSheetId="2">Infraest.Comunitaria!$4:$4</definedName>
    <definedName name="_xlnm.Print_Titles" localSheetId="3">'Pres. Participat'!$4:$4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26" i="5" l="1"/>
  <c r="R122" i="5"/>
  <c r="R118" i="5"/>
  <c r="R110" i="5"/>
  <c r="R106" i="5"/>
  <c r="R22" i="4" l="1"/>
  <c r="O13" i="6" l="1"/>
  <c r="R38" i="4" l="1"/>
  <c r="R154" i="5"/>
  <c r="R170" i="5"/>
  <c r="R166" i="5"/>
  <c r="R162" i="5"/>
  <c r="R158" i="5"/>
  <c r="O44" i="6" l="1"/>
  <c r="Q44" i="6"/>
  <c r="O33" i="6"/>
  <c r="O9" i="6" l="1"/>
  <c r="I15" i="6"/>
  <c r="J15" i="6" s="1"/>
  <c r="O18" i="4"/>
  <c r="O14" i="4"/>
  <c r="O10" i="4"/>
  <c r="O6" i="4"/>
  <c r="R10" i="6" l="1"/>
  <c r="R8" i="6"/>
  <c r="R7" i="6"/>
  <c r="O28" i="6" l="1"/>
  <c r="O32" i="6" l="1"/>
  <c r="O55" i="6"/>
  <c r="R22" i="5" l="1"/>
  <c r="O34" i="6" l="1"/>
  <c r="R42" i="5"/>
  <c r="R38" i="5"/>
  <c r="R34" i="5"/>
  <c r="R30" i="5"/>
  <c r="O12" i="7" l="1"/>
  <c r="O10" i="20"/>
  <c r="O10" i="21"/>
  <c r="O7" i="8"/>
  <c r="O196" i="5"/>
  <c r="O9" i="9"/>
  <c r="O12" i="6" l="1"/>
  <c r="O114" i="5" l="1"/>
  <c r="O26" i="5"/>
  <c r="O102" i="5"/>
  <c r="O98" i="5"/>
  <c r="O18" i="5"/>
  <c r="O14" i="5"/>
  <c r="O10" i="5"/>
  <c r="O6" i="5"/>
  <c r="O39" i="6" l="1"/>
  <c r="Q42" i="6"/>
  <c r="Q41" i="6"/>
  <c r="Q40" i="6"/>
  <c r="O90" i="5" l="1"/>
  <c r="O86" i="5"/>
  <c r="O82" i="5"/>
  <c r="O78" i="5"/>
  <c r="O74" i="5"/>
  <c r="O70" i="5"/>
  <c r="O66" i="5"/>
  <c r="O62" i="5"/>
  <c r="O58" i="5"/>
  <c r="Q39" i="6"/>
  <c r="O45" i="6" l="1"/>
  <c r="O22" i="21" l="1"/>
  <c r="O49" i="6" l="1"/>
  <c r="O12" i="21" l="1"/>
  <c r="O17" i="21"/>
  <c r="O7" i="22"/>
  <c r="J55" i="6" l="1"/>
  <c r="S55" i="6" s="1"/>
  <c r="J34" i="6"/>
  <c r="S34" i="6" s="1"/>
  <c r="J32" i="6"/>
  <c r="S32" i="6" s="1"/>
  <c r="J31" i="6"/>
  <c r="S31" i="6" s="1"/>
  <c r="I27" i="6"/>
  <c r="I14" i="6"/>
  <c r="O22" i="6"/>
  <c r="O20" i="6" l="1"/>
  <c r="R176" i="5" l="1"/>
  <c r="R179" i="5"/>
  <c r="R173" i="5"/>
  <c r="O8" i="18" l="1"/>
  <c r="O8" i="16"/>
  <c r="O11" i="6" l="1"/>
  <c r="R182" i="5" l="1"/>
  <c r="R191" i="5"/>
  <c r="R188" i="5"/>
  <c r="R185" i="5"/>
  <c r="R142" i="5"/>
  <c r="R150" i="5"/>
  <c r="R146" i="5"/>
  <c r="R138" i="5"/>
  <c r="O94" i="5" l="1"/>
  <c r="O54" i="5"/>
  <c r="O50" i="5"/>
  <c r="O46" i="5"/>
  <c r="O26" i="4"/>
  <c r="O22" i="4"/>
  <c r="R14" i="20" l="1"/>
  <c r="Q14" i="20"/>
  <c r="O59" i="6"/>
  <c r="O118" i="5"/>
  <c r="O110" i="5"/>
  <c r="O106" i="5"/>
  <c r="O126" i="5"/>
  <c r="O122" i="5"/>
  <c r="O57" i="6" l="1"/>
  <c r="O5" i="10" l="1"/>
  <c r="O38" i="4" l="1"/>
  <c r="O154" i="5"/>
  <c r="J39" i="6" l="1"/>
  <c r="S39" i="6" s="1"/>
  <c r="I37" i="6"/>
  <c r="I36" i="6"/>
  <c r="J36" i="6" s="1"/>
  <c r="J5" i="6"/>
  <c r="I10" i="6"/>
  <c r="J10" i="6" s="1"/>
  <c r="J20" i="6"/>
  <c r="S20" i="6" s="1"/>
  <c r="I45" i="6"/>
  <c r="I56" i="6"/>
  <c r="O12" i="8" l="1"/>
  <c r="O8" i="9"/>
  <c r="O5" i="9"/>
  <c r="O7" i="10"/>
  <c r="O13" i="22"/>
  <c r="O6" i="22"/>
  <c r="O7" i="15"/>
  <c r="O208" i="5"/>
  <c r="O201" i="5"/>
  <c r="O195" i="5"/>
  <c r="O170" i="5" l="1"/>
  <c r="O166" i="5"/>
  <c r="O162" i="5"/>
  <c r="O158" i="5"/>
  <c r="O42" i="5"/>
  <c r="O38" i="5"/>
  <c r="O34" i="5"/>
  <c r="O30" i="5"/>
  <c r="O22" i="5"/>
  <c r="O150" i="5"/>
  <c r="O146" i="5"/>
  <c r="O142" i="5"/>
  <c r="O138" i="5"/>
  <c r="O191" i="5"/>
  <c r="O188" i="5"/>
  <c r="O185" i="5"/>
  <c r="O182" i="5"/>
  <c r="O179" i="5"/>
  <c r="O176" i="5"/>
  <c r="O173" i="5"/>
  <c r="O30" i="6"/>
  <c r="O19" i="6"/>
  <c r="O11" i="21"/>
  <c r="O51" i="6" l="1"/>
  <c r="Q27" i="6" l="1"/>
  <c r="O27" i="6"/>
  <c r="T182" i="5" l="1"/>
  <c r="T191" i="5"/>
  <c r="T188" i="5"/>
  <c r="T185" i="5"/>
  <c r="T42" i="5"/>
  <c r="T38" i="5"/>
  <c r="T34" i="5"/>
  <c r="T30" i="5"/>
  <c r="T22" i="5"/>
  <c r="T170" i="5"/>
  <c r="T166" i="5"/>
  <c r="T162" i="5"/>
  <c r="T158" i="5"/>
  <c r="O24" i="6" l="1"/>
  <c r="O38" i="6"/>
  <c r="O7" i="6" l="1"/>
  <c r="O10" i="6"/>
  <c r="S10" i="6" s="1"/>
  <c r="O14" i="6"/>
  <c r="O15" i="6"/>
  <c r="S15" i="6" s="1"/>
  <c r="O17" i="6" l="1"/>
  <c r="O16" i="6" l="1"/>
  <c r="I8" i="16" l="1"/>
  <c r="I8" i="18"/>
  <c r="I7" i="18"/>
  <c r="I7" i="16"/>
  <c r="J34" i="4"/>
  <c r="S34" i="4" s="1"/>
  <c r="J30" i="4"/>
  <c r="S30" i="4" s="1"/>
  <c r="C49" i="24" l="1"/>
  <c r="O56" i="6" l="1"/>
  <c r="J10" i="7" l="1"/>
  <c r="S10" i="7" s="1"/>
  <c r="J22" i="21" l="1"/>
  <c r="S22" i="21" s="1"/>
  <c r="R27" i="6" l="1"/>
  <c r="J19" i="6" l="1"/>
  <c r="S19" i="6" s="1"/>
  <c r="J16" i="6"/>
  <c r="S16" i="6" s="1"/>
  <c r="I24" i="6"/>
  <c r="I54" i="6"/>
  <c r="O54" i="6" l="1"/>
  <c r="O6" i="21" l="1"/>
  <c r="O7" i="21"/>
  <c r="O36" i="6" l="1"/>
  <c r="J54" i="6" l="1"/>
  <c r="S54" i="6" s="1"/>
  <c r="J8" i="18" l="1"/>
  <c r="S8" i="18" s="1"/>
  <c r="J8" i="16"/>
  <c r="S8" i="16" s="1"/>
  <c r="O26" i="6" l="1"/>
  <c r="R18" i="16" l="1"/>
  <c r="Q18" i="16"/>
  <c r="O18" i="16"/>
  <c r="J15" i="22" l="1"/>
  <c r="S15" i="22" s="1"/>
  <c r="J13" i="22"/>
  <c r="S13" i="22" s="1"/>
  <c r="J7" i="22"/>
  <c r="S7" i="22" s="1"/>
  <c r="J6" i="22"/>
  <c r="S6" i="22" s="1"/>
  <c r="H212" i="5" l="1"/>
  <c r="K49" i="24" l="1"/>
  <c r="J49" i="24"/>
  <c r="H49" i="24"/>
  <c r="F49" i="24"/>
  <c r="S17" i="22"/>
  <c r="S18" i="22" s="1"/>
  <c r="K43" i="24" s="1"/>
  <c r="K44" i="24" s="1"/>
  <c r="R17" i="22"/>
  <c r="R18" i="22" s="1"/>
  <c r="I43" i="24" s="1"/>
  <c r="I44" i="24" s="1"/>
  <c r="Q17" i="22"/>
  <c r="Q18" i="22" s="1"/>
  <c r="G43" i="24" s="1"/>
  <c r="G44" i="24" s="1"/>
  <c r="O17" i="22"/>
  <c r="O18" i="22" s="1"/>
  <c r="E43" i="24" s="1"/>
  <c r="J17" i="22"/>
  <c r="J18" i="22" s="1"/>
  <c r="D43" i="24" s="1"/>
  <c r="I17" i="22"/>
  <c r="I18" i="22" s="1"/>
  <c r="C43" i="24" s="1"/>
  <c r="C44" i="24" s="1"/>
  <c r="H17" i="22"/>
  <c r="H18" i="22" s="1"/>
  <c r="B43" i="24" s="1"/>
  <c r="B44" i="24" s="1"/>
  <c r="R24" i="21"/>
  <c r="R25" i="21" s="1"/>
  <c r="I39" i="24" s="1"/>
  <c r="Q24" i="21"/>
  <c r="Q25" i="21" s="1"/>
  <c r="G39" i="24" s="1"/>
  <c r="O24" i="21"/>
  <c r="O25" i="21" s="1"/>
  <c r="E39" i="24" s="1"/>
  <c r="I24" i="21"/>
  <c r="I25" i="21" s="1"/>
  <c r="C39" i="24" s="1"/>
  <c r="H24" i="21"/>
  <c r="H25" i="21" s="1"/>
  <c r="B39" i="24" s="1"/>
  <c r="B40" i="24" s="1"/>
  <c r="J23" i="21"/>
  <c r="S23" i="21" s="1"/>
  <c r="J17" i="21"/>
  <c r="S17" i="21" s="1"/>
  <c r="J16" i="21"/>
  <c r="S16" i="21" s="1"/>
  <c r="J11" i="21"/>
  <c r="S11" i="21" s="1"/>
  <c r="J10" i="21"/>
  <c r="S10" i="21" s="1"/>
  <c r="J9" i="21"/>
  <c r="S9" i="21" s="1"/>
  <c r="J8" i="21"/>
  <c r="S8" i="21" s="1"/>
  <c r="J6" i="21"/>
  <c r="S6" i="21" s="1"/>
  <c r="J5" i="21"/>
  <c r="S5" i="21" s="1"/>
  <c r="R15" i="20"/>
  <c r="I35" i="24" s="1"/>
  <c r="I36" i="24" s="1"/>
  <c r="Q15" i="20"/>
  <c r="G35" i="24" s="1"/>
  <c r="O14" i="20"/>
  <c r="O15" i="20" s="1"/>
  <c r="E35" i="24" s="1"/>
  <c r="I15" i="20"/>
  <c r="C35" i="24" s="1"/>
  <c r="C36" i="24" s="1"/>
  <c r="I14" i="20"/>
  <c r="H14" i="20"/>
  <c r="H15" i="20"/>
  <c r="B35" i="24" s="1"/>
  <c r="B36" i="24" s="1"/>
  <c r="J10" i="20"/>
  <c r="S10" i="20" s="1"/>
  <c r="S14" i="20" s="1"/>
  <c r="S15" i="20" s="1"/>
  <c r="K35" i="24" s="1"/>
  <c r="K36" i="24" s="1"/>
  <c r="R10" i="19"/>
  <c r="R11" i="19" s="1"/>
  <c r="I31" i="24" s="1"/>
  <c r="I32" i="24" s="1"/>
  <c r="Q10" i="19"/>
  <c r="Q11" i="19" s="1"/>
  <c r="G31" i="24" s="1"/>
  <c r="G32" i="24" s="1"/>
  <c r="O10" i="19"/>
  <c r="O11" i="19" s="1"/>
  <c r="E31" i="24" s="1"/>
  <c r="E32" i="24" s="1"/>
  <c r="J6" i="19"/>
  <c r="S6" i="19" s="1"/>
  <c r="S10" i="19" s="1"/>
  <c r="S11" i="19" s="1"/>
  <c r="K31" i="24" s="1"/>
  <c r="K32" i="24" s="1"/>
  <c r="H10" i="19"/>
  <c r="H11" i="19" s="1"/>
  <c r="B31" i="24" s="1"/>
  <c r="B32" i="24" s="1"/>
  <c r="I10" i="19"/>
  <c r="I11" i="19" s="1"/>
  <c r="C31" i="24" s="1"/>
  <c r="C32" i="24" s="1"/>
  <c r="R12" i="18"/>
  <c r="R13" i="18" s="1"/>
  <c r="I27" i="24" s="1"/>
  <c r="Q12" i="18"/>
  <c r="Q13" i="18" s="1"/>
  <c r="G27" i="24" s="1"/>
  <c r="O12" i="18"/>
  <c r="O13" i="18" s="1"/>
  <c r="I12" i="18"/>
  <c r="I13" i="18" s="1"/>
  <c r="C27" i="24" s="1"/>
  <c r="H12" i="18"/>
  <c r="H13" i="18" s="1"/>
  <c r="B27" i="24" s="1"/>
  <c r="J7" i="18"/>
  <c r="S7" i="18" s="1"/>
  <c r="S12" i="18" s="1"/>
  <c r="S13" i="18" s="1"/>
  <c r="K27" i="24" s="1"/>
  <c r="J7" i="16"/>
  <c r="I18" i="16"/>
  <c r="I19" i="16" s="1"/>
  <c r="C26" i="24" s="1"/>
  <c r="H18" i="16"/>
  <c r="H19" i="16" s="1"/>
  <c r="B26" i="24" s="1"/>
  <c r="R19" i="16"/>
  <c r="I26" i="24" s="1"/>
  <c r="Q19" i="16"/>
  <c r="G26" i="24" s="1"/>
  <c r="O19" i="16"/>
  <c r="E26" i="24" s="1"/>
  <c r="R14" i="15"/>
  <c r="R15" i="15" s="1"/>
  <c r="I22" i="24" s="1"/>
  <c r="Q14" i="15"/>
  <c r="Q15" i="15" s="1"/>
  <c r="G22" i="24" s="1"/>
  <c r="O14" i="15"/>
  <c r="O15" i="15" s="1"/>
  <c r="E22" i="24" s="1"/>
  <c r="I14" i="15"/>
  <c r="I15" i="15" s="1"/>
  <c r="C22" i="24" s="1"/>
  <c r="C23" i="24" s="1"/>
  <c r="H14" i="15"/>
  <c r="H15" i="15" s="1"/>
  <c r="B22" i="24" s="1"/>
  <c r="B23" i="24" s="1"/>
  <c r="J9" i="15"/>
  <c r="S9" i="15" s="1"/>
  <c r="J8" i="15"/>
  <c r="S8" i="15" s="1"/>
  <c r="J7" i="15"/>
  <c r="S7" i="15" s="1"/>
  <c r="J6" i="15"/>
  <c r="S6" i="15" s="1"/>
  <c r="R6" i="14"/>
  <c r="R7" i="14" s="1"/>
  <c r="I18" i="24" s="1"/>
  <c r="Q6" i="14"/>
  <c r="Q7" i="14" s="1"/>
  <c r="G18" i="24" s="1"/>
  <c r="O6" i="14"/>
  <c r="O7" i="14" s="1"/>
  <c r="E18" i="24" s="1"/>
  <c r="H7" i="14"/>
  <c r="B18" i="24" s="1"/>
  <c r="B19" i="24" s="1"/>
  <c r="I6" i="14"/>
  <c r="I7" i="14" s="1"/>
  <c r="C18" i="24" s="1"/>
  <c r="H6" i="14"/>
  <c r="J5" i="14"/>
  <c r="S5" i="14" s="1"/>
  <c r="S6" i="14" s="1"/>
  <c r="S7" i="14" s="1"/>
  <c r="K18" i="24" s="1"/>
  <c r="R8" i="11"/>
  <c r="R9" i="11" s="1"/>
  <c r="I17" i="24" s="1"/>
  <c r="O8" i="11"/>
  <c r="O9" i="11" s="1"/>
  <c r="E17" i="24" s="1"/>
  <c r="I8" i="11"/>
  <c r="I9" i="11" s="1"/>
  <c r="C17" i="24" s="1"/>
  <c r="C19" i="24" s="1"/>
  <c r="H8" i="11"/>
  <c r="Q8" i="11"/>
  <c r="Q9" i="11" s="1"/>
  <c r="G17" i="24" s="1"/>
  <c r="G19" i="24" s="1"/>
  <c r="H9" i="11"/>
  <c r="B17" i="24" s="1"/>
  <c r="J7" i="11"/>
  <c r="S7" i="11" s="1"/>
  <c r="J6" i="11"/>
  <c r="S6" i="11" s="1"/>
  <c r="S8" i="11" s="1"/>
  <c r="S9" i="11" s="1"/>
  <c r="K17" i="24" s="1"/>
  <c r="R9" i="10"/>
  <c r="R10" i="10" s="1"/>
  <c r="I13" i="24" s="1"/>
  <c r="Q9" i="10"/>
  <c r="Q10" i="10" s="1"/>
  <c r="G13" i="24" s="1"/>
  <c r="O9" i="10"/>
  <c r="O10" i="10" s="1"/>
  <c r="E13" i="24" s="1"/>
  <c r="H9" i="10"/>
  <c r="H10" i="10"/>
  <c r="B13" i="24" s="1"/>
  <c r="I9" i="10"/>
  <c r="I10" i="10" s="1"/>
  <c r="C13" i="24" s="1"/>
  <c r="J7" i="10"/>
  <c r="S7" i="10" s="1"/>
  <c r="J6" i="10"/>
  <c r="S6" i="10" s="1"/>
  <c r="J5" i="10"/>
  <c r="S5" i="10" s="1"/>
  <c r="R11" i="9"/>
  <c r="R12" i="9" s="1"/>
  <c r="I12" i="24" s="1"/>
  <c r="Q11" i="9"/>
  <c r="Q12" i="9" s="1"/>
  <c r="G12" i="24" s="1"/>
  <c r="O11" i="9"/>
  <c r="O12" i="9" s="1"/>
  <c r="E12" i="24" s="1"/>
  <c r="I11" i="9"/>
  <c r="I12" i="9" s="1"/>
  <c r="C12" i="24" s="1"/>
  <c r="H11" i="9"/>
  <c r="H12" i="9" s="1"/>
  <c r="B12" i="24" s="1"/>
  <c r="J10" i="9"/>
  <c r="S10" i="9" s="1"/>
  <c r="J9" i="9"/>
  <c r="S9" i="9" s="1"/>
  <c r="J8" i="9"/>
  <c r="S8" i="9" s="1"/>
  <c r="J6" i="9"/>
  <c r="S6" i="9" s="1"/>
  <c r="J5" i="9"/>
  <c r="S5" i="9" s="1"/>
  <c r="R15" i="8"/>
  <c r="R16" i="8" s="1"/>
  <c r="I11" i="24" s="1"/>
  <c r="Q15" i="8"/>
  <c r="Q16" i="8" s="1"/>
  <c r="G11" i="24" s="1"/>
  <c r="O15" i="8"/>
  <c r="O16" i="8" s="1"/>
  <c r="E11" i="24" s="1"/>
  <c r="H15" i="8"/>
  <c r="I15" i="8"/>
  <c r="I16" i="8" s="1"/>
  <c r="C11" i="24" s="1"/>
  <c r="H16" i="8"/>
  <c r="B11" i="24" s="1"/>
  <c r="J13" i="8"/>
  <c r="S13" i="8" s="1"/>
  <c r="J12" i="8"/>
  <c r="J7" i="8"/>
  <c r="S7" i="8" s="1"/>
  <c r="R14" i="7"/>
  <c r="R15" i="7" s="1"/>
  <c r="I10" i="24" s="1"/>
  <c r="Q14" i="7"/>
  <c r="Q15" i="7" s="1"/>
  <c r="G10" i="24" s="1"/>
  <c r="O14" i="7"/>
  <c r="O15" i="7" s="1"/>
  <c r="E10" i="24" s="1"/>
  <c r="I14" i="7"/>
  <c r="I15" i="7" s="1"/>
  <c r="C10" i="24" s="1"/>
  <c r="H14" i="7"/>
  <c r="H15" i="7" s="1"/>
  <c r="B10" i="24" s="1"/>
  <c r="J13" i="7"/>
  <c r="S13" i="7" s="1"/>
  <c r="J12" i="7"/>
  <c r="S12" i="7" s="1"/>
  <c r="J11" i="7"/>
  <c r="S11" i="7" s="1"/>
  <c r="J9" i="7"/>
  <c r="S9" i="7" s="1"/>
  <c r="J8" i="7"/>
  <c r="S8" i="7" s="1"/>
  <c r="J7" i="7"/>
  <c r="S7" i="7" s="1"/>
  <c r="R212" i="5"/>
  <c r="R213" i="5" s="1"/>
  <c r="Q212" i="5"/>
  <c r="Q213" i="5" s="1"/>
  <c r="G6" i="24" s="1"/>
  <c r="O212" i="5"/>
  <c r="O213" i="5" s="1"/>
  <c r="E6" i="24" s="1"/>
  <c r="H213" i="5"/>
  <c r="B6" i="24" s="1"/>
  <c r="I212" i="5"/>
  <c r="I213" i="5" s="1"/>
  <c r="C6" i="24" s="1"/>
  <c r="J210" i="5"/>
  <c r="S210" i="5" s="1"/>
  <c r="J209" i="5"/>
  <c r="S209" i="5" s="1"/>
  <c r="J208" i="5"/>
  <c r="S208" i="5" s="1"/>
  <c r="J205" i="5"/>
  <c r="S205" i="5" s="1"/>
  <c r="J202" i="5"/>
  <c r="S202" i="5" s="1"/>
  <c r="J201" i="5"/>
  <c r="S201" i="5" s="1"/>
  <c r="J198" i="5"/>
  <c r="S198" i="5" s="1"/>
  <c r="J197" i="5"/>
  <c r="S197" i="5" s="1"/>
  <c r="J196" i="5"/>
  <c r="S196" i="5" s="1"/>
  <c r="J195" i="5"/>
  <c r="S195" i="5" s="1"/>
  <c r="J191" i="5"/>
  <c r="S191" i="5" s="1"/>
  <c r="J188" i="5"/>
  <c r="S188" i="5" s="1"/>
  <c r="J185" i="5"/>
  <c r="S185" i="5" s="1"/>
  <c r="J182" i="5"/>
  <c r="S182" i="5" s="1"/>
  <c r="J179" i="5"/>
  <c r="S179" i="5" s="1"/>
  <c r="J176" i="5"/>
  <c r="S176" i="5" s="1"/>
  <c r="J173" i="5"/>
  <c r="S173" i="5" s="1"/>
  <c r="J170" i="5"/>
  <c r="S170" i="5" s="1"/>
  <c r="J166" i="5"/>
  <c r="S166" i="5" s="1"/>
  <c r="J162" i="5"/>
  <c r="S162" i="5" s="1"/>
  <c r="J158" i="5"/>
  <c r="S158" i="5" s="1"/>
  <c r="J154" i="5"/>
  <c r="S154" i="5" s="1"/>
  <c r="J150" i="5"/>
  <c r="S150" i="5" s="1"/>
  <c r="J146" i="5"/>
  <c r="S146" i="5" s="1"/>
  <c r="J142" i="5"/>
  <c r="S142" i="5" s="1"/>
  <c r="J138" i="5"/>
  <c r="S138" i="5" s="1"/>
  <c r="J134" i="5"/>
  <c r="S134" i="5" s="1"/>
  <c r="J130" i="5"/>
  <c r="S130" i="5" s="1"/>
  <c r="J126" i="5"/>
  <c r="S126" i="5" s="1"/>
  <c r="J122" i="5"/>
  <c r="S122" i="5" s="1"/>
  <c r="J118" i="5"/>
  <c r="S118" i="5" s="1"/>
  <c r="J114" i="5"/>
  <c r="S114" i="5" s="1"/>
  <c r="J110" i="5"/>
  <c r="S110" i="5" s="1"/>
  <c r="J106" i="5"/>
  <c r="S106" i="5" s="1"/>
  <c r="J102" i="5"/>
  <c r="S102" i="5" s="1"/>
  <c r="J98" i="5"/>
  <c r="S98" i="5" s="1"/>
  <c r="J94" i="5"/>
  <c r="S94" i="5" s="1"/>
  <c r="J90" i="5"/>
  <c r="S90" i="5" s="1"/>
  <c r="J86" i="5"/>
  <c r="S86" i="5" s="1"/>
  <c r="J82" i="5"/>
  <c r="S82" i="5" s="1"/>
  <c r="J78" i="5"/>
  <c r="S78" i="5" s="1"/>
  <c r="J74" i="5"/>
  <c r="S74" i="5" s="1"/>
  <c r="J70" i="5"/>
  <c r="S70" i="5" s="1"/>
  <c r="J66" i="5"/>
  <c r="S66" i="5" s="1"/>
  <c r="J62" i="5"/>
  <c r="S62" i="5" s="1"/>
  <c r="J58" i="5"/>
  <c r="S58" i="5" s="1"/>
  <c r="J54" i="5"/>
  <c r="S54" i="5" s="1"/>
  <c r="J50" i="5"/>
  <c r="S50" i="5" s="1"/>
  <c r="J46" i="5"/>
  <c r="S46" i="5" s="1"/>
  <c r="J42" i="5"/>
  <c r="S42" i="5" s="1"/>
  <c r="J38" i="5"/>
  <c r="S38" i="5" s="1"/>
  <c r="J34" i="5"/>
  <c r="S34" i="5" s="1"/>
  <c r="J30" i="5"/>
  <c r="S30" i="5" s="1"/>
  <c r="J26" i="5"/>
  <c r="S26" i="5" s="1"/>
  <c r="J22" i="5"/>
  <c r="S22" i="5" s="1"/>
  <c r="J18" i="5"/>
  <c r="S18" i="5" s="1"/>
  <c r="J14" i="5"/>
  <c r="S14" i="5" s="1"/>
  <c r="J10" i="5"/>
  <c r="S10" i="5" s="1"/>
  <c r="J6" i="5"/>
  <c r="S6" i="5" s="1"/>
  <c r="R46" i="4"/>
  <c r="R47" i="4" s="1"/>
  <c r="I5" i="24" s="1"/>
  <c r="Q46" i="4"/>
  <c r="Q47" i="4" s="1"/>
  <c r="G5" i="24" s="1"/>
  <c r="O46" i="4"/>
  <c r="O47" i="4" s="1"/>
  <c r="E5" i="24" s="1"/>
  <c r="J43" i="4"/>
  <c r="S43" i="4" s="1"/>
  <c r="J42" i="4"/>
  <c r="S42" i="4" s="1"/>
  <c r="J22" i="4"/>
  <c r="S22" i="4" s="1"/>
  <c r="J38" i="4"/>
  <c r="S38" i="4" s="1"/>
  <c r="J26" i="4"/>
  <c r="S26" i="4" s="1"/>
  <c r="J18" i="4"/>
  <c r="J14" i="4"/>
  <c r="J10" i="4"/>
  <c r="J6" i="4"/>
  <c r="H46" i="4"/>
  <c r="H47" i="4" s="1"/>
  <c r="B5" i="24" s="1"/>
  <c r="I46" i="4"/>
  <c r="I47" i="4" s="1"/>
  <c r="C5" i="24" s="1"/>
  <c r="R60" i="6"/>
  <c r="R61" i="6" s="1"/>
  <c r="Q60" i="6"/>
  <c r="Q61" i="6" s="1"/>
  <c r="O60" i="6"/>
  <c r="O61" i="6" s="1"/>
  <c r="I60" i="6"/>
  <c r="I61" i="6" s="1"/>
  <c r="C48" i="24" s="1"/>
  <c r="C50" i="24" s="1"/>
  <c r="J56" i="6"/>
  <c r="S56" i="6" s="1"/>
  <c r="J53" i="6"/>
  <c r="S53" i="6" s="1"/>
  <c r="J52" i="6"/>
  <c r="S52" i="6" s="1"/>
  <c r="J45" i="6"/>
  <c r="S45" i="6" s="1"/>
  <c r="J37" i="6"/>
  <c r="S37" i="6" s="1"/>
  <c r="S36" i="6"/>
  <c r="J27" i="6"/>
  <c r="S27" i="6" s="1"/>
  <c r="J24" i="6"/>
  <c r="S24" i="6" s="1"/>
  <c r="J14" i="6"/>
  <c r="S14" i="6" s="1"/>
  <c r="J9" i="6"/>
  <c r="S9" i="6" s="1"/>
  <c r="J7" i="6"/>
  <c r="S7" i="6" s="1"/>
  <c r="J6" i="6"/>
  <c r="S6" i="6" s="1"/>
  <c r="S5" i="6"/>
  <c r="H60" i="6"/>
  <c r="H61" i="6" s="1"/>
  <c r="B48" i="24" s="1"/>
  <c r="B50" i="24" s="1"/>
  <c r="J14" i="20" l="1"/>
  <c r="J15" i="20" s="1"/>
  <c r="D35" i="24" s="1"/>
  <c r="D36" i="24" s="1"/>
  <c r="J10" i="19"/>
  <c r="J11" i="19" s="1"/>
  <c r="D31" i="24" s="1"/>
  <c r="B28" i="24"/>
  <c r="K19" i="24"/>
  <c r="J6" i="14"/>
  <c r="J7" i="14" s="1"/>
  <c r="D18" i="24" s="1"/>
  <c r="F18" i="24" s="1"/>
  <c r="I19" i="24"/>
  <c r="J8" i="11"/>
  <c r="J9" i="11" s="1"/>
  <c r="D17" i="24" s="1"/>
  <c r="E19" i="24"/>
  <c r="B14" i="24"/>
  <c r="I6" i="24"/>
  <c r="I7" i="24" s="1"/>
  <c r="J35" i="24"/>
  <c r="I14" i="24"/>
  <c r="J11" i="9"/>
  <c r="J12" i="9" s="1"/>
  <c r="D12" i="24" s="1"/>
  <c r="J12" i="24" s="1"/>
  <c r="S11" i="9"/>
  <c r="S12" i="9" s="1"/>
  <c r="K12" i="24" s="1"/>
  <c r="S14" i="15"/>
  <c r="S15" i="15" s="1"/>
  <c r="K22" i="24" s="1"/>
  <c r="K23" i="24" s="1"/>
  <c r="G23" i="24"/>
  <c r="I23" i="24"/>
  <c r="J14" i="15"/>
  <c r="J15" i="15" s="1"/>
  <c r="D22" i="24" s="1"/>
  <c r="D23" i="24" s="1"/>
  <c r="S14" i="4"/>
  <c r="S18" i="4"/>
  <c r="S10" i="4"/>
  <c r="E23" i="24"/>
  <c r="E48" i="24"/>
  <c r="E50" i="24" s="1"/>
  <c r="D32" i="24"/>
  <c r="J15" i="8"/>
  <c r="J16" i="8" s="1"/>
  <c r="D11" i="24" s="1"/>
  <c r="J11" i="24" s="1"/>
  <c r="S12" i="8"/>
  <c r="S15" i="8" s="1"/>
  <c r="S16" i="8" s="1"/>
  <c r="K11" i="24" s="1"/>
  <c r="S9" i="10"/>
  <c r="S10" i="10" s="1"/>
  <c r="K13" i="24" s="1"/>
  <c r="J9" i="10"/>
  <c r="J10" i="10" s="1"/>
  <c r="D13" i="24" s="1"/>
  <c r="F13" i="24" s="1"/>
  <c r="C14" i="24"/>
  <c r="D44" i="24"/>
  <c r="H43" i="24"/>
  <c r="J43" i="24"/>
  <c r="I28" i="24"/>
  <c r="G36" i="24"/>
  <c r="H36" i="24" s="1"/>
  <c r="H35" i="24"/>
  <c r="G14" i="24"/>
  <c r="J14" i="7"/>
  <c r="J15" i="7" s="1"/>
  <c r="D10" i="24" s="1"/>
  <c r="F10" i="24" s="1"/>
  <c r="S14" i="7"/>
  <c r="S15" i="7" s="1"/>
  <c r="K10" i="24" s="1"/>
  <c r="B7" i="24"/>
  <c r="B45" i="24" s="1"/>
  <c r="B51" i="24" s="1"/>
  <c r="G7" i="24"/>
  <c r="J46" i="4"/>
  <c r="J47" i="4" s="1"/>
  <c r="D5" i="24" s="1"/>
  <c r="J5" i="24" s="1"/>
  <c r="S6" i="4"/>
  <c r="C7" i="24"/>
  <c r="E44" i="24"/>
  <c r="F43" i="24"/>
  <c r="E7" i="24"/>
  <c r="E14" i="24"/>
  <c r="F35" i="24"/>
  <c r="E36" i="24"/>
  <c r="F36" i="24" s="1"/>
  <c r="G48" i="24"/>
  <c r="G50" i="24" s="1"/>
  <c r="I48" i="24"/>
  <c r="I50" i="24" s="1"/>
  <c r="S24" i="21"/>
  <c r="S25" i="21" s="1"/>
  <c r="K39" i="24" s="1"/>
  <c r="K40" i="24" s="1"/>
  <c r="J24" i="21"/>
  <c r="J25" i="21" s="1"/>
  <c r="D39" i="24" s="1"/>
  <c r="D40" i="24" s="1"/>
  <c r="S212" i="5"/>
  <c r="S213" i="5" s="1"/>
  <c r="K6" i="24" s="1"/>
  <c r="E27" i="24"/>
  <c r="E28" i="24" s="1"/>
  <c r="G28" i="24"/>
  <c r="J12" i="18"/>
  <c r="J13" i="18" s="1"/>
  <c r="D27" i="24" s="1"/>
  <c r="J27" i="24" s="1"/>
  <c r="C28" i="24"/>
  <c r="S7" i="16"/>
  <c r="S18" i="16" s="1"/>
  <c r="S19" i="16" s="1"/>
  <c r="K26" i="24" s="1"/>
  <c r="K28" i="24" s="1"/>
  <c r="J18" i="16"/>
  <c r="J19" i="16" s="1"/>
  <c r="D26" i="24" s="1"/>
  <c r="S60" i="6"/>
  <c r="S61" i="6" s="1"/>
  <c r="K48" i="24" s="1"/>
  <c r="J212" i="5"/>
  <c r="J213" i="5" s="1"/>
  <c r="D6" i="24" s="1"/>
  <c r="E40" i="24"/>
  <c r="C40" i="24"/>
  <c r="I40" i="24"/>
  <c r="G40" i="24"/>
  <c r="H17" i="24"/>
  <c r="J60" i="6"/>
  <c r="J61" i="6" s="1"/>
  <c r="D48" i="24" s="1"/>
  <c r="D50" i="24" s="1"/>
  <c r="D19" i="24" l="1"/>
  <c r="H18" i="24"/>
  <c r="J18" i="24"/>
  <c r="F19" i="24"/>
  <c r="H19" i="24"/>
  <c r="J19" i="24"/>
  <c r="F17" i="24"/>
  <c r="J17" i="24"/>
  <c r="I45" i="24"/>
  <c r="I51" i="24" s="1"/>
  <c r="H12" i="24"/>
  <c r="J36" i="24"/>
  <c r="F12" i="24"/>
  <c r="J22" i="24"/>
  <c r="F22" i="24"/>
  <c r="H22" i="24"/>
  <c r="F44" i="24"/>
  <c r="S46" i="4"/>
  <c r="S47" i="4" s="1"/>
  <c r="K5" i="24" s="1"/>
  <c r="K7" i="24" s="1"/>
  <c r="H10" i="24"/>
  <c r="J10" i="24"/>
  <c r="F11" i="24"/>
  <c r="H11" i="24"/>
  <c r="K14" i="24"/>
  <c r="H13" i="24"/>
  <c r="J13" i="24"/>
  <c r="J44" i="24"/>
  <c r="H44" i="24"/>
  <c r="D14" i="24"/>
  <c r="H14" i="24" s="1"/>
  <c r="F5" i="24"/>
  <c r="H5" i="24"/>
  <c r="D7" i="24"/>
  <c r="C45" i="24"/>
  <c r="C51" i="24" s="1"/>
  <c r="H50" i="24"/>
  <c r="H40" i="24"/>
  <c r="H39" i="24"/>
  <c r="J39" i="24"/>
  <c r="F39" i="24"/>
  <c r="H6" i="24"/>
  <c r="J6" i="24"/>
  <c r="F6" i="24"/>
  <c r="D28" i="24"/>
  <c r="J28" i="24" s="1"/>
  <c r="H27" i="24"/>
  <c r="F27" i="24"/>
  <c r="F26" i="24"/>
  <c r="J26" i="24"/>
  <c r="H26" i="24"/>
  <c r="J50" i="24"/>
  <c r="F48" i="24"/>
  <c r="H48" i="24"/>
  <c r="F50" i="24"/>
  <c r="J48" i="24"/>
  <c r="K50" i="24"/>
  <c r="F40" i="24"/>
  <c r="J40" i="24"/>
  <c r="G45" i="24"/>
  <c r="E45" i="24"/>
  <c r="H7" i="24" l="1"/>
  <c r="D45" i="24"/>
  <c r="D51" i="24" s="1"/>
  <c r="F14" i="24"/>
  <c r="F28" i="24"/>
  <c r="J14" i="24"/>
  <c r="K45" i="24"/>
  <c r="K51" i="24" s="1"/>
  <c r="J7" i="24"/>
  <c r="F7" i="24"/>
  <c r="H28" i="24"/>
  <c r="E51" i="24"/>
  <c r="G51" i="24"/>
  <c r="H45" i="24" l="1"/>
  <c r="J45" i="24"/>
  <c r="F45" i="24"/>
  <c r="H51" i="24"/>
  <c r="F51" i="24"/>
  <c r="J51" i="24"/>
</calcChain>
</file>

<file path=xl/sharedStrings.xml><?xml version="1.0" encoding="utf-8"?>
<sst xmlns="http://schemas.openxmlformats.org/spreadsheetml/2006/main" count="1291" uniqueCount="523">
  <si>
    <t>METAS DEL PROYECTO</t>
  </si>
  <si>
    <t>PRODUCTO</t>
  </si>
  <si>
    <t>OBRA</t>
  </si>
  <si>
    <t>ACTIVIDAD</t>
  </si>
  <si>
    <t>F. INICIO</t>
  </si>
  <si>
    <t>F. FIN</t>
  </si>
  <si>
    <t>PARTIDA</t>
  </si>
  <si>
    <t>ARTE, CULTURA Y PATRIMONIO</t>
  </si>
  <si>
    <t>AGENDA CULTURAL METROPOLITANA</t>
  </si>
  <si>
    <t>EVENTOS ZONALES EJECUTADOS</t>
  </si>
  <si>
    <t>No Aplica</t>
  </si>
  <si>
    <t>TERRITORIO Y CULTURA</t>
  </si>
  <si>
    <t>CULTURA EN EL ESPACIO PÚBLICO</t>
  </si>
  <si>
    <t>CORRESPONSABILIDAD CIUDADANA</t>
  </si>
  <si>
    <t>INFRAESTRUCTURA COMUNITARIA</t>
  </si>
  <si>
    <t>OBRAS DE ESPACIO PÚBLICO</t>
  </si>
  <si>
    <t>REHABILITACION CASA SOMOS GUAPULO, BARRIO GUAPULO, SECTOR ITCHIMBIA</t>
  </si>
  <si>
    <t>REHABILITACION CASA SOMOS SAN MARCOS, BARRIO SAN MARCOS, SECTOR CENTRO HISTORICO</t>
  </si>
  <si>
    <t>REHABILITACION CASA SOMOS SAN DIEGO, BARRIO SAN DIEGO, SECTOR CENTRO HISTORICO</t>
  </si>
  <si>
    <t>REHABILITACION CASA SOMOS LA TOLA, CALLE LOS RIOS ENTRE ESMERALDAS Y ANTEPARA, BARRIO LA TOLA, SECTOR ITCHIMBIA</t>
  </si>
  <si>
    <t>OBRAS DE ACCESO A BARRIO</t>
  </si>
  <si>
    <t>READOQUINADO CALLE RIO CINTO ENTRE MINDO Y AV. LIBERTADORES, BARRIO NUEVA AURORA, SECTOR LA LIBERTAD</t>
  </si>
  <si>
    <t>READOQUINADO CALLE E14A ENTRE AVENIDA SIMON BOLIVAR Y CALLE S3D, BARRIO COLINAS DE MONJAS, PARROQUIA PUENGASI</t>
  </si>
  <si>
    <t>READOQUINADO DE LA CALLE TROYA DESDE CALLE HUMBERTO FIERRO HASTA ESCALINATA S/N, BARRIO LA TOLA, SECTOR ITCHIMBIA</t>
  </si>
  <si>
    <t>OBRAS DE INFRAESTRUCTURA COMUNITARIA</t>
  </si>
  <si>
    <t>REHABILITACION Y/O CONSTRUCCION DE INFRAESTRUCTURA COMUNITARIA ADMINISTRACIÓN ZONAL CENTRO</t>
  </si>
  <si>
    <t>PRESUPUESTOS PARTICIPATIVOS</t>
  </si>
  <si>
    <t>OBRAS PRIORIZADAS DE PRESUPUESTOS PARTICIPATIVOS 2021</t>
  </si>
  <si>
    <t>READOQUINADO DE LA CALLE A, ENTRE CALLE SALVADOR ALLENDE Y GUATEMALA, BARRIO SALVADOR ALLENDE, SECTOR SAN JUAN</t>
  </si>
  <si>
    <t>READOQUINADO CALLE IMBABURA ENTRE LA CALLE ESMERALDAS Y ORIENTE, BARRIO SAN JUAN, SECTOR SAN JUAN</t>
  </si>
  <si>
    <t>READOQUINADO CALLE HAITI, DESDE LA CALLE AUGUSTO MARTINEZ HASTA LA CALLE SAN MATEO, BARRIO LA INDEPENDENCIA, SECTOR SAN JUAN</t>
  </si>
  <si>
    <t>READOQUINADO CALLE EL PLACER DESDE ENTRADA DEL MUSEO YAKU HASTA GERTRUDIS AVALOS, BARRIO EL PLACER, SECTOR SAN JUAN</t>
  </si>
  <si>
    <t>REHABILITACION AREA DEPORTIVA (I ETAPA) ENTRE LA CALLE JERONIMO PUENTE Y RAMIREZ DE ARELLANO, BARRIO MIRADOR DE TOCTIUCO, SECTOR SAN JUAN</t>
  </si>
  <si>
    <t>COLOCACION DE PASAMANOS EN LA CALLE FERNANDEZ DE VELASCO CON DIRECCION A LA BALLICA, BARRIO LA BALLICA, SECTOR SAN JUAN</t>
  </si>
  <si>
    <t>REHABILITACION (I ETAPA) AREA RECREATIVA ENTRE LA CALLE JERONIMO PUENTE Y RAMIREZ DE ARELLANO, BARRIO MIRADOR DE TOCTIUCO, SECTOR SAN JUAN</t>
  </si>
  <si>
    <t>IMPLEMENTACION DE JUEGOS INFANTILES E INCLUSIVOS, BARRIO EL ROSAL, SECTOR SAN JUAN</t>
  </si>
  <si>
    <t>REHABILITACION DE LA CUBIERTA DE LA CASA BARRIAL DE LA CDLA. AMAZONAS, CALLES TAPI Y BABAHOYO (JUNTO A ESCALINATA RIO CENEPA), CDLA. AMAZONAS, SECTOR SAN JUAN</t>
  </si>
  <si>
    <t>CONSTRUCCION AULA DE USO MULTIPLE EN CUBIERTA EXISTENTE EN EL PATIO SUPERIOR DE LA CASA BARRIAL DE LA CDLA. AMAZONAS, CALLES TAPI Y BABAHOYO (JUNTO A ESCALINATA RIO CENEPA), CDLA. AMAZONAS, SECTOR SAN JUAN</t>
  </si>
  <si>
    <t>CONSTRUCCION DE BORDILLOS EN LA CALLE G (CIPRIANO), BARRIO ALMA LOJANA, SECTOR PUENGASI</t>
  </si>
  <si>
    <t>ADOQUINADO CALLE S/N, ENTRE LINEA FERREA Y CURVA DE RETORNO, BARRIO 1RO DE MAYO, SECTOR PUENGASI</t>
  </si>
  <si>
    <t>REHABILITACION DE UN TRAMO DE LA CALLE E17B DESDE LA CALLE S5B HASTA LA S5C, BARRIO FUTURO LIBRE, SECTOR PUENGASI</t>
  </si>
  <si>
    <t>COLOCACION DE PASAMANOS EN LA CASA BARRIAL, BARRIO VISTA ALEGRE, SECTOR PUENGASI</t>
  </si>
  <si>
    <t>CONSTRUCCION CERRAMIENTO DE LA CASA BARRIAL, BARRIO EL GUABO, SECTOR PUENGASI</t>
  </si>
  <si>
    <t>RECONSTRUCCION ESCALINATA E14F, ENTRE PASAJE T (S1F) HASTA INICIO DE SAYAUSI (S1E), BARRIO ORQUIDEAS, SECTOR PUENGASI</t>
  </si>
  <si>
    <t>REHABILITACION DE LA ESCALINATA CHAMBI, BARRIO SAN JOSE DE MONJAS (SEGUNDA Y), SECTOR PUENGASI</t>
  </si>
  <si>
    <t>CONSTRUCCION DE UNA PARED MEDIANERA EN EL ESPACIO PUBLICO DE LAS CALLES S3D Y E16, BARRIO PATRIMONIO FAMILIAR 1, SECTOR PUENGASI</t>
  </si>
  <si>
    <t>REHABILITACION DE LA ESCALINATA MANUEL CUZCO, BARRIO SAN JOSE DE MONJAS (SEGUNDA Y), SECTOR PUENGASI</t>
  </si>
  <si>
    <t>CONSTRUCCION DE CERRAMIENTO DE MALLA SOBRE MURETES EXISTENTES EN LA AUTOPISTA SIMÓN BOLIVAR (JUNTO A PARADA DE BUSES) Y CALLE JUAN BAUTISTA AGUIRRE, BARRIO EDEN DEL VALLE, SECTOR PUENGASI</t>
  </si>
  <si>
    <t>REHABILITACION CANCHAS DE VOLEY, BARRIO MIRAVALLE DE PUENGASI, SECTOR PUENGASI</t>
  </si>
  <si>
    <t>CONSTRUCCION DE MURO DE CONTENCION DE APROXIMADAMENTE 20 METROS EN EL LADO NORTE DE LA CANCHA DE INDOOR FUTBOL DE LA LIGA BARRIAL SAN ISIDRO DE PUENGASI, BARRIO SAN ISIDRO DE PUENGASI, SECTOR PUENGASI</t>
  </si>
  <si>
    <t>ADOQUINADO Y BORDILLOS DE LA CALLE S5B, BARRIO ELOY ALFARO DE PUENGASI, SECTOR PUENGASI</t>
  </si>
  <si>
    <t>READOQUINADO CALLE CESTARIS ENTRE AV. MARISCAL SUCRE Y CALLE PUNAES, BARRIO COLMENA CENTRO, SECTOR LA LIBERTAD</t>
  </si>
  <si>
    <t>ADOQUINADO DEL PASAJE SANTIAGO LOPEZ (S6C), DESDE LA CALLE SANTIAGO LOPEZ HASTA EL GRADERÍO DE LA CANCHA DE VOLEY, BARRIO BARRIO ATACAZO, PARROQUIA LA LIBERTAD</t>
  </si>
  <si>
    <t>READOQUINADO TRAMO DE LA CALLE MILLER, BARRIO SANTA LUCIA MEDIA, SECTOR LA LIBERTAD</t>
  </si>
  <si>
    <t>REHABILITACION PASAJE IMBAYAS, DESDE PASAJE IMBAYAS HASTA CALLE CARAS, BARRIO DOS PUENTES, SECTOR LA LIBERTAD</t>
  </si>
  <si>
    <t>CONSTRUCCION MURO DE CONTENCION PARA PROTECCION DE AREA DE JUEGOS EN EL PREDIO MUNICIPAL JUNTO A LA CALLE SANTIAGO LOPEZ, BARRIO ATACAZO, SECTOR LA LIBERTAD</t>
  </si>
  <si>
    <t>READOQUINADO CALLE POALO, ENTRE LA CALLE MILLER Y CALLE O LEARY, BARRIO COLMENA MEDIA, SECTOR LA LIBERTAD</t>
  </si>
  <si>
    <t>REHABILITACION ESPACIO PUBLICO PREDIO N° 196382, CANCHA Y PARQUE, CALLE RIO SILANCHI Y PITZARA, BARRIO NUEVA AURORA, SECTOR LA LIBERTAD</t>
  </si>
  <si>
    <t>COLOCACION DE PASAMANOS DE SEGURIDAD CALLE CONCEPCION, BARRIO COLMENA ALTA, SECTOR LA LIBERTAD</t>
  </si>
  <si>
    <t>READOQUINADO CALLE ANAGOYTIA DESDE LA CALLE SAENZ HASTA LA ESCALINATA ANGOSTURA (II ETAPA), BARRIO LA VICENTINA, SECTOR ITCHIMBIA</t>
  </si>
  <si>
    <t>COLOCACION DE JUEGOS EN EL PARQUE VACAS GALINDO, UBICADO EN LAS CALLES LUIS GODIN Y MANUEL ALBAN, BARRIO LA VICENTINA, SECTOR ITCHIMBIA</t>
  </si>
  <si>
    <t>REHABILITACION DEL PASAJE IBERIA DESDE LA CALLE CAMINO DE ORELLANA HASTA EL FINAL DEL PASAJE, BARRIO GUAPULO, SECTOR ITCHIMBIA</t>
  </si>
  <si>
    <t>REHABILITACION ESPACIOS EXTERIORES CASA SOMOS GUAPULO (II ETAPA), CAMINO DE ORELLANA, BARRIO GUAPULO, SECTOR ITCHIMBIA</t>
  </si>
  <si>
    <t>REHABILITACION CALLE A (CONSTRUCCION DE ACERA, LADO SUR-ESTE), BARRIO ASEDIM, SECTOR ITCHIMBIA</t>
  </si>
  <si>
    <t>REHABILITACION DEL PUENTE PEATONAL SOBRE LA AV. VELASCO IBARRA Y CRESPO TORAL, BARRIO LA TOLA, SECTOR ITCHIMBIA</t>
  </si>
  <si>
    <t>READOQUINADO PASAJE ZALDUMBIDE ENTRE ROCAFUERTE Y L. F. CHAVEZ, BARRIO LA LOMA, SECTOR CENTRO HISTORICO</t>
  </si>
  <si>
    <t>REHABILITACION CASA COMUNAL EN LA CALLE RIO VERDE Y RIO BLANCO, BARRIO LA PLAYA DEL PANECILLO, SECTOR CENTRO HISTORICO</t>
  </si>
  <si>
    <t>REHABILITACION DE LA ESCALINATA RIO NEGRO, ENTRE LA CALLE AGOYAN Y NECOCHEA, BARRIO PANECILLO, SECTOR CENTRO HISTORICO</t>
  </si>
  <si>
    <t>REHABILITACION ESCALINATA QUIJANO Y AREAS VERDES (CERRAMIENTOS) ENTRE PASCUALES Y AYMERICH, BARRIO EL PANECILLO, SECTOR CENTRO HISTORICO</t>
  </si>
  <si>
    <t>REHABILITACION DEL ESPACIO VERDE ENTRE BALAO Y PALESTINA, BARRIO EL PANECILLO, SECTOR CENTRO HISTORICO</t>
  </si>
  <si>
    <t>OBRAS DE ARRASTRE AÑOS ANTERIORES</t>
  </si>
  <si>
    <t xml:space="preserve">REHABILITACIÓN SEDE SOCIAL DE LA LIGA BARRIAL OBRERO INDEPENDIENTE, BARRIO OBRERO INDEPENDIENTE, SECTOR MONJAS PUENGASI </t>
  </si>
  <si>
    <t>CONSTRUCCIÓN DE ESCALINATA PASAJE 1, BARRIO BALCÓN QUITEÑO, SECTOR MONJAS PUENGASI</t>
  </si>
  <si>
    <t xml:space="preserve">CONSTRUCCIÓN DE ESCALINATA CALLE E11, ENTRE LA LÍNEA FÉRREA Y CALLE JOSÉ ARELLANO PORTILLA, BARRIO SAN LUIS DE MONJAS, SECTOR MONJAS PUENGASI </t>
  </si>
  <si>
    <t>CONSTRUCCIÓN ESCALINATA, ENTRE LA CALLE NICOLÁS CORTEZ Y CALLE WAYCO, BARRIO LA VICENTINA, SECTOR ITCHIMBIA</t>
  </si>
  <si>
    <t xml:space="preserve">REHABILITACIÓN DE ESCALINATA SIN NOMBRE, DESDE LA CALLE CAMINO DE ORELLANA HASTA FRANCISCO COMPTE, BARRIO GUAPULO, SECTOR ITCHIMBIA </t>
  </si>
  <si>
    <t>REHABILITACIÓN DE LA PRIMERA ETAPA DE LA ESCALINATA ENTRE LA CALLE LEÓN LARREA Y AV. CONQUISTADORES, BARRIO LA TOLITA, SECTOR ITCHIMBIA</t>
  </si>
  <si>
    <t>CONSTRUCCIÓN DE PARQUE, CANCHA DE USO MÚLTIPLE, COLOCACIÓN DE JUEGOS INFANTILES Y JUEGOS INCLUSIVOS, BARRIO NUESTROS HIJOS, SECTOR LA LIBERTAD</t>
  </si>
  <si>
    <t>CONSTRUYENDO PARTICIPACIÓN CON EDUCACIÓN Y VALORES EN NUESTROS BARRIOS</t>
  </si>
  <si>
    <t>SAN JUAN SE PREPARA SALUD SEXUAL Y REPRODUCTIVA</t>
  </si>
  <si>
    <t>PERIÓDICO COMUNITARIO "EL CHULLA QUITEÑO"</t>
  </si>
  <si>
    <t>CAPACÍTATE LOMA GRANDE</t>
  </si>
  <si>
    <t>PRODUCTIVIDAD SOSTENIBLE</t>
  </si>
  <si>
    <t>FOMENTO PRODUCTIVO TERRITORIAL</t>
  </si>
  <si>
    <t>UNIDADES PRODUCTIVAS FORTALECIDAS CON INSUMOS Y APOYO TÉCNICO</t>
  </si>
  <si>
    <t>FACILIDADES PRODUCTIVAS Y EQUIPAMIENTOS PARA EL DESARROLLO ECONÓMICO LOCAL</t>
  </si>
  <si>
    <t>BASES DE DATOS SOCIO-ECONÓMICAS Y EMPRESARIALES ACTUALIZADAS</t>
  </si>
  <si>
    <t>SERVICIOS A ACTORES TERRITORIALES PARA EL DESARROLLO DE CAPACIDADES TÉCNICAS Y PRODUCTIVAS PARA EL EMPLEO Y EL EMPRENDIMIENTO</t>
  </si>
  <si>
    <t>ACTORES DEL SECTOR MICROEMPRESARIAL Y DE LA ECONOMÍA POPULAR Y SOLIDARIA FORTALECIDOS EN FOMENTO PRODUCTIVO</t>
  </si>
  <si>
    <t>QUITO SIN MIEDO</t>
  </si>
  <si>
    <t>BARRIOS ORGANIZADOS PARA LA SEGURIDAD CIUDADANA Y CONVIVENCIA, CON ENFOQUE MI PREVENCIÓN COMUNITARIA</t>
  </si>
  <si>
    <t>ESPACIOS PÚBLICOS INTERVENIDOS CON ENFOQUE DE PREVENCIÓN SITUACIONAL</t>
  </si>
  <si>
    <t>ATENCIÓN DE EMERGENCIAS EN EL DMQ</t>
  </si>
  <si>
    <t>EMERGENCIAS Y DESASTRES ATENDIDOS EN EL TERRITORIO</t>
  </si>
  <si>
    <t>FORTALECIMIENTO DE LA GOBERNANZA DEMOCRÁTICA</t>
  </si>
  <si>
    <t>MODELO DE GESTIÓN SOMOS QUITO FUNCIONANDO</t>
  </si>
  <si>
    <t>COLONIAS VACACIONALES</t>
  </si>
  <si>
    <t>COLONIAS VACACIONALES RECREANDO QUITO EN FUNCIONAMIENTO</t>
  </si>
  <si>
    <t>SISTEMA DE PARTICIPACIÓN CIUDADANA</t>
  </si>
  <si>
    <t>SISTEMA DE PARTICIPACIÓN CIUDADANA FORTALECIDO</t>
  </si>
  <si>
    <t>ESCUELA DE FORMACIÓN CIUDADANA Y CONTROL SOCIAL FUNCIONANDO</t>
  </si>
  <si>
    <t>VOLUNTARIADO "QUITO ACCIÓN"</t>
  </si>
  <si>
    <t>PLAN DE ACCIÓN Y ORGANIZACIÓN SOCIAL DE PARTICIPACIÓN DE VOLUNTARIADO IMPLEMENTADO.</t>
  </si>
  <si>
    <t>PROMOCIÓN DE DERECHOS</t>
  </si>
  <si>
    <t>ESTRATEGIA PRÁCTICAS DISTRITALES PARA LA CONVIVENCIA E INTEGRACIÓN EN LA DIVERSIDAD DE LOS GAP IMPLEMENTADA</t>
  </si>
  <si>
    <t>SELLO INCLUSIVO PROGRESIVO IMPLEMENTADO</t>
  </si>
  <si>
    <t>SALUD AL DIA</t>
  </si>
  <si>
    <t>SEGURIDAD ALIMENTARIA Y DE CALIDAD</t>
  </si>
  <si>
    <t>ESTRATEGIA DE SEGURIDAD ALIMENTARIA, PROMOCIÓN DE NUTRICIÓN Y ALIMENTACIÓN SALUDABLE POR CICLOS DE VIDA IMPLEMENTADA EN LAS 2 UNIDADES EDUCATIVAS MUNICIPALES DE LA ADMINISTRACIÓN ZONAL.</t>
  </si>
  <si>
    <t>ESTRATEGIA DE SEGURIDAD ALIMENTARIA, PROMOCIÓN DE NUTRICIÓN Y ALIMENTACIÓN SALUDABLE POR CICLOS DE VIDA IMPLEMENTADA EN LOS 9 MERCADOS MUNICIPALES DE LA ADMINISTRACIÓN ZONA</t>
  </si>
  <si>
    <t>ESTRATEGIA DE SEGURIDAD ALIMENTARIA, PROMOCIÓN DE NUTRICIÓN Y ALIMENTACIÓN SALUDABLE POR CICLOS DE VIDA IMPLEMENTADA EN COMERCIO REGULARIZADO DE LA ADMINISTRACIÓN ZONAL</t>
  </si>
  <si>
    <t>REPORTES DE MUESTRAS DE ALIMENTOS RECOLECTADAS PARA ANÁLISIS MICROBIOLÓGICO</t>
  </si>
  <si>
    <t>SISTEMA INTEGRAL DE PROMOCIÓN DE LA SALUD</t>
  </si>
  <si>
    <t>LÍDERES COMUNITARIOS CAPACITADO/AS EN PROMOCIÓN DE SALUD</t>
  </si>
  <si>
    <t>ADULTOS MAYORES PARTICIPANDO EN PROCESO DE PROMOCIÓN DE LA SALUD</t>
  </si>
  <si>
    <t>FAUNA URBANA</t>
  </si>
  <si>
    <t>PLAN EDUCOMUNICACIONAL DE CONVIVENCIA RESPONSABLE CON LA FAUNA URBANA EJECUTADO</t>
  </si>
  <si>
    <t>FORTALECIMIENTO INSTITUCIONAL</t>
  </si>
  <si>
    <t>AZMS - EJECUTAR EL 100% DE GASTOS ADMINISTRATIVOS</t>
  </si>
  <si>
    <t>GASTO ADMINISTRATIVO</t>
  </si>
  <si>
    <t>LOGRAR 290 EVENTOS ARTÍSTICO CULTURALES PUESTOS EN ESCENA EN EL ESPACIO PÚBLICO FÍSICO Y/O VIRTUAL
Valor Esperado Distrital: 290.00
Valor Específico Dependencia: 10</t>
  </si>
  <si>
    <t>LOGRAR 42 PROCESOS CULTURALES QUE PONGAN EN VALOR LA DIVERSIDAD CULTURAL DEL DISTRITO METROPOLITANO DE QUITO
Valor Esperado Distrital: 42.00
Valor Específico Dependencia: 3</t>
  </si>
  <si>
    <t>EJECUTAR 44 OBRAS DE ESPACIO PÚBLICO EN EL DMQ
Valor Esperado Distrital: 44.00
Valor Específico Dependencia: 4</t>
  </si>
  <si>
    <t>INTERVENIR EN 20,99 KILÓMETROS EN VÍAS DE ACCESO A BARRIOS
Valor Esperado Distrital: 20.99
Valor Específico Dependencia: 0.63</t>
  </si>
  <si>
    <t>EJECUTAR 3 OBRAS DE INFRAESTRUCTURA COMUNITARIA
Valor Esperado Distrital: 3.00
Valor Específico Dependencia: 1</t>
  </si>
  <si>
    <t>EJECUTAR 390 OBRAS DE PRESUPUESTOS PARTICIPATIVOS EN EL DMQ
Valor Esperado Distrital: 390.00
Valor Específico Dependencia: 49</t>
  </si>
  <si>
    <t>EJECUTAR 38 PROYECTOS SOCIALES DE PRESUPUESTOS PARTICIPATIVOS EN EL DMQ
Valor Esperado Distrital: 38.00
Valor Específico Dependencia: 4</t>
  </si>
  <si>
    <t>ALCANZAR 7.650 BENEFICIARIOS DE ACCIONES DE DESARROLLO DE CAPACIDADES TÉCNICAS Y PRODUCTIVAS ENTRE UPAS, CIUDADANOS Y ACTORES DE LA EPS.
Valor Esperado Distrital: 7650.00
Valor Específico Dependencia: 900</t>
  </si>
  <si>
    <t>IMPLEMENTAR 550 ACCIONES DESTINADAS A MEJORAR LA ORGANIZACIÓN DE BARRIOS PARA LA SEGURIDAD Y CONVIVENCIA.
Valor Esperado Distrital: 550.00
Valor Específico Dependencia: 21</t>
  </si>
  <si>
    <t>INTERVENIR CON 680 ACCIONES EN ESPACIOS PÚBLICOS PARA MEJORAR LA PERCEPCIÓN CIUDADANA SOBRE LA SEGURIDAD.
Valor Esperado Distrital: 680.00
Valor Específico Dependencia: 44</t>
  </si>
  <si>
    <t>ATENDER EL 100% DE LAS EMPERGENCIAS PRESENTADAS EN EL TERRITORIO
Valor Esperado Distrital: 100.00
Valor Específico Dependencia: 100.00</t>
  </si>
  <si>
    <t>BENEFICIAR A 223000 PERSONAS DE LOS SERVICIOS PRESTADOS EN EL PROYECTO SOMOS QUITO
Valor Esperado Distrital: 223000.00
Valor Específico Dependencia: 38000</t>
  </si>
  <si>
    <t>LOGRAR QUE 11330 NIÑOS Y NIÑAS SE BENEFICIEN CON LAS COLONIAS VACACIONALES CICLO COSTA Y SIERRA
Valor Esperado Distrital: 11330.00
Valor Específico Dependencia: 1200</t>
  </si>
  <si>
    <t>LOGRAR QUE 37.000 PERSONAS PARTICIPEN EN ACTIVIDADES DEL SISTEMA METROPOLITANO DE PARTICIPACIÓN CIUDADANA
Valor Esperado Distrital: 37000.00
Valor Específico Dependencia: 4500</t>
  </si>
  <si>
    <t>LOGRAR QUE 1630 VOLUNTARIOS PARTICIPEN EN LOS PROGRAMAS DE ORGANIZACIÓN SOCIAL Y PARTICIPACIÓN DE ACCIÓN DE VOLUNTARIADO
Valor Esperado Distrital: 1630.00
Valor Específico Dependencia: 160</t>
  </si>
  <si>
    <t>LOGRAR 166 ACCIONES DE SENSIBILIZACIÓN Y PROMOCIÓN EN DERECHOS DE GRUPOS DE ATENCIÓN PRIORITARIA EN SITUACIÓN DE VULNERABILIDAD Y/O RIESGO
Valor Esperado Distrital: 166.00
Valor Específico Dependencia: 17</t>
  </si>
  <si>
    <t>LOGRAR QUE 321 ORGANIZACIONES PRIVADAS O PÚBLICAS MANTENGAN O INCREMENTEN PRÁCTICAS DE INCLUSIÓN SOCIAL
Valor Esperado Distrital: 321.00
Valor Específico Dependencia: 9</t>
  </si>
  <si>
    <t xml:space="preserve">LOGRAR QUE 15.000 PERSONAS (COMUNIDAD EDUCATIVA Y FAMILIAS) PARTICIPEN EN ACCIONES DE PROMOCIÓN Y SENSIBILIZACIÓN EN NUTRICIÓN Y ALIMENTACIÓN SALUDABLE POR CICLOS DE VIDA
Valor Esperado Distrital: 15000.00
Valor Específico Dependencia: 3000
</t>
  </si>
  <si>
    <t>LOGRAR QUE 11.280 PERSONAS PARTICIPEN EN ACCIONES DE INOCUIDAD ALIMENTARIA, PROMOCIÓN DE NUTRICIÓN Y ALIMENTACIÓN SALUDABLE POR CICLOS DE VIDA
Valor Esperado Distrital: 11280.00
Valor Específico Dependencia: 2193</t>
  </si>
  <si>
    <t>LOGRAR 6.554 MUESTRAS DE ALIMENTOS SEAN RECOLECTADAS Y ENTREGADAS EN EL LABORATORIO DE ALIMENTOS PARA ANÁLISIS MICROBIOLÓGICO
Valor Esperado Distrital: 6554.00
Valor Específico Dependencia: 1184</t>
  </si>
  <si>
    <t>LOGRAR QUE 2.116 PERSONAS SE BENEFICIEN DE LAS ACCIONES DEL PLAN INTEGRAL DE PROMOCIÓN DE LA SALUD, EN LOS COMPONENTES DE SALUD MENTAL, SALUD SEXUAL Y SALUD REPRODUCTIVA, MEDIANTE EL REFORZAMIENTO DE LA PARTICIPACIÓN COMUNITARIA
Valor Esperado Distrital: 2116.00
Valor Específico Dependencia: 205</t>
  </si>
  <si>
    <t>CONCIENTIZAR A 40.080 PERSONAS EN CONVIVENCIA RESPONSABLE CON LA FAUNA URBANA EN EL DMQ
Valor Esperado Distrital: 40080.00
Valor Específico Dependencia: 1250</t>
  </si>
  <si>
    <r>
      <t>Diseños (Estudios)</t>
    </r>
    <r>
      <rPr>
        <sz val="8"/>
        <color theme="1"/>
        <rFont val="Arial"/>
        <family val="2"/>
      </rPr>
      <t xml:space="preserve"> </t>
    </r>
    <r>
      <rPr>
        <sz val="8"/>
        <color rgb="FFFF0000"/>
        <rFont val="Arial"/>
        <family val="2"/>
      </rPr>
      <t>(Especifica)</t>
    </r>
  </si>
  <si>
    <r>
      <t>Contratación Portal</t>
    </r>
    <r>
      <rPr>
        <sz val="8"/>
        <color theme="1"/>
        <rFont val="Arial"/>
        <family val="2"/>
      </rPr>
      <t xml:space="preserve"> </t>
    </r>
    <r>
      <rPr>
        <sz val="8"/>
        <color rgb="FFFF0000"/>
        <rFont val="Arial"/>
        <family val="2"/>
      </rPr>
      <t>(Especifica)</t>
    </r>
  </si>
  <si>
    <r>
      <t xml:space="preserve">Periodo de ejecución (según contrato) </t>
    </r>
    <r>
      <rPr>
        <sz val="8"/>
        <color rgb="FFFF0000"/>
        <rFont val="Arial"/>
        <family val="2"/>
      </rPr>
      <t>(Especifica)</t>
    </r>
  </si>
  <si>
    <r>
      <t>Obra suscrita Acta de entrega recepción provisional</t>
    </r>
    <r>
      <rPr>
        <sz val="8"/>
        <color theme="1"/>
        <rFont val="Arial"/>
        <family val="2"/>
      </rPr>
      <t xml:space="preserve"> </t>
    </r>
    <r>
      <rPr>
        <sz val="8"/>
        <color rgb="FFFF0000"/>
        <rFont val="Arial"/>
        <family val="2"/>
      </rPr>
      <t>(Especifica)</t>
    </r>
  </si>
  <si>
    <t>PROGRAMA:</t>
  </si>
  <si>
    <t xml:space="preserve">PROYECTO: </t>
  </si>
  <si>
    <t xml:space="preserve"> GASTOS ADMINISTRATIVOS</t>
  </si>
  <si>
    <t xml:space="preserve"> SOMOS QUITO</t>
  </si>
  <si>
    <t>PROMOCIÓN DE DERECHOS DE GRUPOS DE ATENC</t>
  </si>
  <si>
    <t>MANEJO DE FAUNA URBANA</t>
  </si>
  <si>
    <t>PREVENCIÓN SITUACIONAL Y CONVIVENCIA PAC</t>
  </si>
  <si>
    <t>GESTION DE RIESGOS</t>
  </si>
  <si>
    <t xml:space="preserve">REFORMA </t>
  </si>
  <si>
    <t>CODIFICADO</t>
  </si>
  <si>
    <t>BENFICIARIO</t>
  </si>
  <si>
    <t>DESCRIPCION DE LA COMPRA SERVIC/ BIEN</t>
  </si>
  <si>
    <t>FECHA CERTIFICACION</t>
  </si>
  <si>
    <t>No. CERT. PRESUP.</t>
  </si>
  <si>
    <t>VALOR CERTIFICADO</t>
  </si>
  <si>
    <t>No. COMPROMISO</t>
  </si>
  <si>
    <t>VALOR COMPROMETIDO</t>
  </si>
  <si>
    <t>DEVENGADO</t>
  </si>
  <si>
    <t>SALDO DISPONIBLE</t>
  </si>
  <si>
    <r>
      <t>Administrar la provisión de bienes, servicios generales y básicos</t>
    </r>
    <r>
      <rPr>
        <sz val="8"/>
        <color theme="1"/>
        <rFont val="Arial"/>
        <family val="2"/>
      </rPr>
      <t xml:space="preserve"> </t>
    </r>
    <r>
      <rPr>
        <sz val="8"/>
        <color rgb="FFFF0000"/>
        <rFont val="Arial"/>
        <family val="2"/>
      </rPr>
      <t>(Permanente)</t>
    </r>
  </si>
  <si>
    <r>
      <t>Dotación y mantenimiento de bienes muebles e inmuebles</t>
    </r>
    <r>
      <rPr>
        <sz val="8"/>
        <color theme="1"/>
        <rFont val="Arial"/>
        <family val="2"/>
      </rPr>
      <t xml:space="preserve"> </t>
    </r>
    <r>
      <rPr>
        <sz val="8"/>
        <color rgb="FFFF0000"/>
        <rFont val="Arial"/>
        <family val="2"/>
      </rPr>
      <t>(Permanente)</t>
    </r>
  </si>
  <si>
    <r>
      <t>Atender los requerimientos administrativos, financieros y notariales</t>
    </r>
    <r>
      <rPr>
        <sz val="8"/>
        <color theme="1"/>
        <rFont val="Arial"/>
        <family val="2"/>
      </rPr>
      <t xml:space="preserve"> </t>
    </r>
    <r>
      <rPr>
        <sz val="8"/>
        <color rgb="FFFF0000"/>
        <rFont val="Arial"/>
        <family val="2"/>
      </rPr>
      <t>(Permanente)</t>
    </r>
  </si>
  <si>
    <r>
      <t>Equipamiento y mantenimiento de infraestructura tecnológica</t>
    </r>
    <r>
      <rPr>
        <sz val="8"/>
        <color theme="1"/>
        <rFont val="Arial"/>
        <family val="2"/>
      </rPr>
      <t xml:space="preserve"> </t>
    </r>
    <r>
      <rPr>
        <sz val="8"/>
        <color rgb="FFFF0000"/>
        <rFont val="Arial"/>
        <family val="2"/>
      </rPr>
      <t>(Especifica)</t>
    </r>
  </si>
  <si>
    <t>INICIAL</t>
  </si>
  <si>
    <t>No. COMPR.</t>
  </si>
  <si>
    <r>
      <t>Ejecución y Seguimiento de las Asambleas Ciudadanas ( Barrial, Parroquial, Zonal y Distrital)</t>
    </r>
    <r>
      <rPr>
        <sz val="8"/>
        <color theme="1"/>
        <rFont val="Arial"/>
        <family val="2"/>
      </rPr>
      <t xml:space="preserve"> </t>
    </r>
    <r>
      <rPr>
        <sz val="8"/>
        <color rgb="FFFF0000"/>
        <rFont val="Arial"/>
        <family val="2"/>
      </rPr>
      <t>(Permanente)</t>
    </r>
  </si>
  <si>
    <r>
      <t>Socialización del Código Municipal Libro I.3 Titulo 2. a nivel Zonal</t>
    </r>
    <r>
      <rPr>
        <sz val="8"/>
        <color theme="1"/>
        <rFont val="Arial"/>
        <family val="2"/>
      </rPr>
      <t xml:space="preserve"> </t>
    </r>
    <r>
      <rPr>
        <sz val="8"/>
        <color rgb="FFFF0000"/>
        <rFont val="Arial"/>
        <family val="2"/>
      </rPr>
      <t>(Permanente)</t>
    </r>
  </si>
  <si>
    <r>
      <t>Encuentros Ciudadanos que fortalecen la organización social en el territorio y aportan al Sistema Participación Ciudadana</t>
    </r>
    <r>
      <rPr>
        <sz val="8"/>
        <color theme="1"/>
        <rFont val="Arial"/>
        <family val="2"/>
      </rPr>
      <t xml:space="preserve"> </t>
    </r>
    <r>
      <rPr>
        <sz val="8"/>
        <color rgb="FFFF0000"/>
        <rFont val="Arial"/>
        <family val="2"/>
      </rPr>
      <t>(Permanente)</t>
    </r>
  </si>
  <si>
    <r>
      <t>Ejecutar el proceso de Rendición de Cuentas en coordinación con el Equipo Técnico Mixto</t>
    </r>
    <r>
      <rPr>
        <sz val="8"/>
        <color theme="1"/>
        <rFont val="Arial"/>
        <family val="2"/>
      </rPr>
      <t xml:space="preserve"> </t>
    </r>
    <r>
      <rPr>
        <sz val="8"/>
        <color rgb="FFFF0000"/>
        <rFont val="Arial"/>
        <family val="2"/>
      </rPr>
      <t>(Especifica)</t>
    </r>
  </si>
  <si>
    <r>
      <t>Implementar el modelo de gestión de Audiencias Públicas del Sistema de Participación Ciudadana en el territorio</t>
    </r>
    <r>
      <rPr>
        <sz val="8"/>
        <color theme="1"/>
        <rFont val="Arial"/>
        <family val="2"/>
      </rPr>
      <t xml:space="preserve"> </t>
    </r>
    <r>
      <rPr>
        <sz val="8"/>
        <color rgb="FFFF0000"/>
        <rFont val="Arial"/>
        <family val="2"/>
      </rPr>
      <t>(Especifica)</t>
    </r>
  </si>
  <si>
    <r>
      <t>Organización, articulación y lineamientos para la implementación de la Escuela de Formación Ciudadana</t>
    </r>
    <r>
      <rPr>
        <sz val="8"/>
        <color theme="1"/>
        <rFont val="Arial"/>
        <family val="2"/>
      </rPr>
      <t xml:space="preserve"> </t>
    </r>
    <r>
      <rPr>
        <sz val="8"/>
        <color rgb="FFFF0000"/>
        <rFont val="Arial"/>
        <family val="2"/>
      </rPr>
      <t>(Especifica)</t>
    </r>
  </si>
  <si>
    <r>
      <t>Desarrollo de la malla curricular y convocatoria a destinatarios para la escuela de Formación Ciudadana</t>
    </r>
    <r>
      <rPr>
        <sz val="8"/>
        <color theme="1"/>
        <rFont val="Arial"/>
        <family val="2"/>
      </rPr>
      <t xml:space="preserve"> </t>
    </r>
    <r>
      <rPr>
        <sz val="8"/>
        <color rgb="FFFF0000"/>
        <rFont val="Arial"/>
        <family val="2"/>
      </rPr>
      <t>(Especifica)</t>
    </r>
  </si>
  <si>
    <r>
      <t>Ejecución de la Escuela de Formación Ciudadana y Control Social en coordinación con la SGCTYPC</t>
    </r>
    <r>
      <rPr>
        <sz val="8"/>
        <color theme="1"/>
        <rFont val="Arial"/>
        <family val="2"/>
      </rPr>
      <t xml:space="preserve"> </t>
    </r>
    <r>
      <rPr>
        <sz val="8"/>
        <color rgb="FFFF0000"/>
        <rFont val="Arial"/>
        <family val="2"/>
      </rPr>
      <t>(Especifica)</t>
    </r>
  </si>
  <si>
    <r>
      <t>Evaluación y retroalimentación de la experiencia en la Implementación y Ejecución de la Escuela de Formación Ciudadana y Control Social; y encuentro de la Escuela de Formación Ciudadana y Control Social a nivel zonal</t>
    </r>
    <r>
      <rPr>
        <sz val="8"/>
        <color theme="1"/>
        <rFont val="Arial"/>
        <family val="2"/>
      </rPr>
      <t xml:space="preserve"> </t>
    </r>
    <r>
      <rPr>
        <sz val="8"/>
        <color rgb="FFFF0000"/>
        <rFont val="Arial"/>
        <family val="2"/>
      </rPr>
      <t>(Especifica)</t>
    </r>
  </si>
  <si>
    <r>
      <t>Socialización del Proyecto Social Construyendo participación con educación y valores en nuestros barrios</t>
    </r>
    <r>
      <rPr>
        <sz val="8"/>
        <color theme="1"/>
        <rFont val="Arial"/>
        <family val="2"/>
      </rPr>
      <t xml:space="preserve"> </t>
    </r>
    <r>
      <rPr>
        <sz val="8"/>
        <color rgb="FFFF0000"/>
        <rFont val="Arial"/>
        <family val="2"/>
      </rPr>
      <t>(Especifica)</t>
    </r>
  </si>
  <si>
    <r>
      <t>Ejecución del proyecto social "Construyendo participación con educación y valores en nuestros barrios"</t>
    </r>
    <r>
      <rPr>
        <sz val="8"/>
        <color theme="1"/>
        <rFont val="Arial"/>
        <family val="2"/>
      </rPr>
      <t xml:space="preserve"> </t>
    </r>
    <r>
      <rPr>
        <sz val="8"/>
        <color rgb="FFFF0000"/>
        <rFont val="Arial"/>
        <family val="2"/>
      </rPr>
      <t>(Especifica)</t>
    </r>
  </si>
  <si>
    <r>
      <t>Exposición de resultados a la comunidad del proyecto social "Construyendo participación con educación y valores en nuestros barrios".</t>
    </r>
    <r>
      <rPr>
        <sz val="8"/>
        <color theme="1"/>
        <rFont val="Arial"/>
        <family val="2"/>
      </rPr>
      <t xml:space="preserve"> </t>
    </r>
    <r>
      <rPr>
        <sz val="8"/>
        <color rgb="FFFF0000"/>
        <rFont val="Arial"/>
        <family val="2"/>
      </rPr>
      <t>(Especifica)</t>
    </r>
  </si>
  <si>
    <r>
      <t>Socialización del Proyecto Social "San Juan se prepara Salud Sexual y Reproductiva"</t>
    </r>
    <r>
      <rPr>
        <sz val="8"/>
        <color theme="1"/>
        <rFont val="Arial"/>
        <family val="2"/>
      </rPr>
      <t xml:space="preserve"> </t>
    </r>
    <r>
      <rPr>
        <sz val="8"/>
        <color rgb="FFFF0000"/>
        <rFont val="Arial"/>
        <family val="2"/>
      </rPr>
      <t>(Especifica)</t>
    </r>
  </si>
  <si>
    <r>
      <t>Ejecución del Proyecto Social "San Juan se prepara Salud Sexual y Reproductiva"</t>
    </r>
    <r>
      <rPr>
        <sz val="8"/>
        <color theme="1"/>
        <rFont val="Arial"/>
        <family val="2"/>
      </rPr>
      <t xml:space="preserve"> </t>
    </r>
    <r>
      <rPr>
        <sz val="8"/>
        <color rgb="FFFF0000"/>
        <rFont val="Arial"/>
        <family val="2"/>
      </rPr>
      <t>(Especifica)</t>
    </r>
  </si>
  <si>
    <r>
      <t>Exposición de resultados a la comunidad del proyecto social San Juan se prepara Salud Sexual y Reproductiva</t>
    </r>
    <r>
      <rPr>
        <sz val="8"/>
        <color theme="1"/>
        <rFont val="Arial"/>
        <family val="2"/>
      </rPr>
      <t xml:space="preserve"> </t>
    </r>
    <r>
      <rPr>
        <sz val="8"/>
        <color rgb="FFFF0000"/>
        <rFont val="Arial"/>
        <family val="2"/>
      </rPr>
      <t>(Especifica)</t>
    </r>
  </si>
  <si>
    <r>
      <t>Socialización del Proyecto Social "Periódico comunitario El Chulla Quiteño”</t>
    </r>
    <r>
      <rPr>
        <sz val="8"/>
        <color theme="1"/>
        <rFont val="Arial"/>
        <family val="2"/>
      </rPr>
      <t xml:space="preserve"> </t>
    </r>
    <r>
      <rPr>
        <sz val="8"/>
        <color rgb="FFFF0000"/>
        <rFont val="Arial"/>
        <family val="2"/>
      </rPr>
      <t>(Especifica)</t>
    </r>
  </si>
  <si>
    <r>
      <t>Ejecución del Proyecto Social "Periódico comunitario El Chulla Quiteño”</t>
    </r>
    <r>
      <rPr>
        <sz val="8"/>
        <color theme="1"/>
        <rFont val="Arial"/>
        <family val="2"/>
      </rPr>
      <t xml:space="preserve"> </t>
    </r>
    <r>
      <rPr>
        <sz val="8"/>
        <color rgb="FFFF0000"/>
        <rFont val="Arial"/>
        <family val="2"/>
      </rPr>
      <t>(Especifica)</t>
    </r>
  </si>
  <si>
    <r>
      <t>Exposición de resultados a la comunidad del proyecto social "Periódico comunitario El Chulla Quiteño”</t>
    </r>
    <r>
      <rPr>
        <sz val="8"/>
        <color theme="1"/>
        <rFont val="Arial"/>
        <family val="2"/>
      </rPr>
      <t xml:space="preserve"> </t>
    </r>
    <r>
      <rPr>
        <sz val="8"/>
        <color rgb="FFFF0000"/>
        <rFont val="Arial"/>
        <family val="2"/>
      </rPr>
      <t>(Especifica)</t>
    </r>
  </si>
  <si>
    <r>
      <t>Socialización del Proyecto Social "Capacítate Loma Grande"</t>
    </r>
    <r>
      <rPr>
        <sz val="8"/>
        <color theme="1"/>
        <rFont val="Arial"/>
        <family val="2"/>
      </rPr>
      <t xml:space="preserve"> </t>
    </r>
    <r>
      <rPr>
        <sz val="8"/>
        <color rgb="FFFF0000"/>
        <rFont val="Arial"/>
        <family val="2"/>
      </rPr>
      <t>(Especifica)</t>
    </r>
  </si>
  <si>
    <r>
      <t>Ejecución del Proyecto Social "Capacítate Loma Grande"</t>
    </r>
    <r>
      <rPr>
        <sz val="8"/>
        <color theme="1"/>
        <rFont val="Arial"/>
        <family val="2"/>
      </rPr>
      <t xml:space="preserve"> </t>
    </r>
    <r>
      <rPr>
        <sz val="8"/>
        <color rgb="FFFF0000"/>
        <rFont val="Arial"/>
        <family val="2"/>
      </rPr>
      <t>(Especifica)</t>
    </r>
  </si>
  <si>
    <r>
      <t>Exposición de resultados a la comunidad del proyecto social "Capacítate Loma Grande"</t>
    </r>
    <r>
      <rPr>
        <sz val="8"/>
        <color theme="1"/>
        <rFont val="Arial"/>
        <family val="2"/>
      </rPr>
      <t xml:space="preserve"> </t>
    </r>
    <r>
      <rPr>
        <sz val="8"/>
        <color rgb="FFFF0000"/>
        <rFont val="Arial"/>
        <family val="2"/>
      </rPr>
      <t>(Especifica)</t>
    </r>
  </si>
  <si>
    <t>No. COMPROM</t>
  </si>
  <si>
    <r>
      <t>Coordinación con actores en el territorio que viabilice el desarrollo de la gestión del proyecto "Somos Quito" a nivel zonal</t>
    </r>
    <r>
      <rPr>
        <sz val="8"/>
        <color theme="1"/>
        <rFont val="Arial"/>
        <family val="2"/>
      </rPr>
      <t xml:space="preserve"> </t>
    </r>
    <r>
      <rPr>
        <sz val="8"/>
        <color rgb="FFFF0000"/>
        <rFont val="Arial"/>
        <family val="2"/>
      </rPr>
      <t>(Permanente)</t>
    </r>
  </si>
  <si>
    <r>
      <t>Actualización y seguimiento que promueve la gestión del proyecto "Somos Quito" en la plataforma Quito Decide</t>
    </r>
    <r>
      <rPr>
        <sz val="8"/>
        <color theme="1"/>
        <rFont val="Arial"/>
        <family val="2"/>
      </rPr>
      <t xml:space="preserve"> </t>
    </r>
    <r>
      <rPr>
        <sz val="8"/>
        <color rgb="FFFF0000"/>
        <rFont val="Arial"/>
        <family val="2"/>
      </rPr>
      <t>(Permanente)</t>
    </r>
  </si>
  <si>
    <r>
      <t>Cumplimiento programático en coordinación con la SGCTYPC del "Proyecto Somos Quito"</t>
    </r>
    <r>
      <rPr>
        <sz val="8"/>
        <color theme="1"/>
        <rFont val="Arial"/>
        <family val="2"/>
      </rPr>
      <t xml:space="preserve"> </t>
    </r>
    <r>
      <rPr>
        <sz val="8"/>
        <color rgb="FFFF0000"/>
        <rFont val="Arial"/>
        <family val="2"/>
      </rPr>
      <t>(Permanente)</t>
    </r>
  </si>
  <si>
    <r>
      <t>Implementación de procesos organizativos distritales del Proyecto "Somos Quito" bajo los lineamientos de la SGCTYPC</t>
    </r>
    <r>
      <rPr>
        <sz val="8"/>
        <color theme="1"/>
        <rFont val="Arial"/>
        <family val="2"/>
      </rPr>
      <t xml:space="preserve"> </t>
    </r>
    <r>
      <rPr>
        <sz val="8"/>
        <color rgb="FFFF0000"/>
        <rFont val="Arial"/>
        <family val="2"/>
      </rPr>
      <t>(Permanente)</t>
    </r>
  </si>
  <si>
    <r>
      <t>Implementación y gestión con actoría territorial que promueva el fortalecimiento de capacidades del voluntariado Quito Acción</t>
    </r>
    <r>
      <rPr>
        <sz val="8"/>
        <color theme="1"/>
        <rFont val="Arial"/>
        <family val="2"/>
      </rPr>
      <t xml:space="preserve"> </t>
    </r>
    <r>
      <rPr>
        <sz val="8"/>
        <color rgb="FFFF0000"/>
        <rFont val="Arial"/>
        <family val="2"/>
      </rPr>
      <t>(Permanente)</t>
    </r>
  </si>
  <si>
    <r>
      <t>Actualización y seguimiento de la gestión del proyecto "Voluntariado Quito Acción" en la plataforma Quito Decide</t>
    </r>
    <r>
      <rPr>
        <sz val="8"/>
        <color theme="1"/>
        <rFont val="Arial"/>
        <family val="2"/>
      </rPr>
      <t xml:space="preserve"> </t>
    </r>
    <r>
      <rPr>
        <sz val="8"/>
        <color rgb="FFFF0000"/>
        <rFont val="Arial"/>
        <family val="2"/>
      </rPr>
      <t>(Permanente)</t>
    </r>
  </si>
  <si>
    <r>
      <t>Implementación de procesos sostenibles con enfoque de culturas urbanas del DMQ, a nivel zonal</t>
    </r>
    <r>
      <rPr>
        <sz val="8"/>
        <color theme="1"/>
        <rFont val="Arial"/>
        <family val="2"/>
      </rPr>
      <t xml:space="preserve"> </t>
    </r>
    <r>
      <rPr>
        <sz val="8"/>
        <color rgb="FFFF0000"/>
        <rFont val="Arial"/>
        <family val="2"/>
      </rPr>
      <t>(Permanente)</t>
    </r>
  </si>
  <si>
    <r>
      <t>Encuentros de organización y fortalecimiento a la Participación del Voluntariado en el territorio</t>
    </r>
    <r>
      <rPr>
        <sz val="8"/>
        <color theme="1"/>
        <rFont val="Arial"/>
        <family val="2"/>
      </rPr>
      <t xml:space="preserve"> </t>
    </r>
    <r>
      <rPr>
        <sz val="8"/>
        <color rgb="FFFF0000"/>
        <rFont val="Arial"/>
        <family val="2"/>
      </rPr>
      <t>(Permanente)</t>
    </r>
  </si>
  <si>
    <r>
      <t>Fortalecimiento de capacidades a Lideres Barriales y Monitores Voluntarios participantes en colonias vacacionales a nivel Zonal</t>
    </r>
    <r>
      <rPr>
        <sz val="8"/>
        <color theme="1"/>
        <rFont val="Arial"/>
        <family val="2"/>
      </rPr>
      <t xml:space="preserve"> </t>
    </r>
    <r>
      <rPr>
        <sz val="8"/>
        <color rgb="FFFF0000"/>
        <rFont val="Arial"/>
        <family val="2"/>
      </rPr>
      <t>(Especifica)</t>
    </r>
  </si>
  <si>
    <r>
      <t>Ejecución de Colonias vacacionales en el DMQ, bajo los lineamientos de la SGCTYPC</t>
    </r>
    <r>
      <rPr>
        <sz val="8"/>
        <color theme="1"/>
        <rFont val="Arial"/>
        <family val="2"/>
      </rPr>
      <t xml:space="preserve"> </t>
    </r>
    <r>
      <rPr>
        <sz val="8"/>
        <color rgb="FFFF0000"/>
        <rFont val="Arial"/>
        <family val="2"/>
      </rPr>
      <t>(Especifica)</t>
    </r>
  </si>
  <si>
    <r>
      <t>Evaluación de Colonias Vacacionales a nivel Zonal</t>
    </r>
    <r>
      <rPr>
        <sz val="8"/>
        <color theme="1"/>
        <rFont val="Arial"/>
        <family val="2"/>
      </rPr>
      <t xml:space="preserve"> </t>
    </r>
    <r>
      <rPr>
        <sz val="8"/>
        <color rgb="FFFF0000"/>
        <rFont val="Arial"/>
        <family val="2"/>
      </rPr>
      <t>(Especifica)</t>
    </r>
  </si>
  <si>
    <r>
      <t>EJECUCIÓN DE EVENTOS ARTÍSTICOS Y CULTURALES HITOS DE LA ADMINISTRACIÓN ZONAL MANUELA SÁENZ</t>
    </r>
    <r>
      <rPr>
        <sz val="8"/>
        <color theme="1"/>
        <rFont val="Arial"/>
        <family val="2"/>
      </rPr>
      <t xml:space="preserve"> </t>
    </r>
    <r>
      <rPr>
        <sz val="8"/>
        <color rgb="FFFF0000"/>
        <rFont val="Arial"/>
        <family val="2"/>
      </rPr>
      <t>(Permanente)</t>
    </r>
  </si>
  <si>
    <r>
      <t>EJECUCIÓN AGOSTO MES DE LAS ARTES EN LA ADMINISTRACIÓN ZONAL MANUELA SÁENZ</t>
    </r>
    <r>
      <rPr>
        <sz val="8"/>
        <color theme="1"/>
        <rFont val="Arial"/>
        <family val="2"/>
      </rPr>
      <t xml:space="preserve"> </t>
    </r>
    <r>
      <rPr>
        <sz val="8"/>
        <color rgb="FFFF0000"/>
        <rFont val="Arial"/>
        <family val="2"/>
      </rPr>
      <t>(Especifica)</t>
    </r>
  </si>
  <si>
    <r>
      <t>EJECUCIÓN FIESTAS DE QUITO EN LA ADMINISTRACIÓN ZONAL MANUELA SÁENZ</t>
    </r>
    <r>
      <rPr>
        <sz val="8"/>
        <color theme="1"/>
        <rFont val="Arial"/>
        <family val="2"/>
      </rPr>
      <t xml:space="preserve"> </t>
    </r>
    <r>
      <rPr>
        <sz val="8"/>
        <color rgb="FFFF0000"/>
        <rFont val="Arial"/>
        <family val="2"/>
      </rPr>
      <t>(Especifica)</t>
    </r>
  </si>
  <si>
    <r>
      <t>EJECUCIÓN DE ACTIVIDADES DE CIRCULACIÓN CULTURAL</t>
    </r>
    <r>
      <rPr>
        <sz val="8"/>
        <color theme="1"/>
        <rFont val="Arial"/>
        <family val="2"/>
      </rPr>
      <t xml:space="preserve"> </t>
    </r>
    <r>
      <rPr>
        <sz val="8"/>
        <color rgb="FFFF0000"/>
        <rFont val="Arial"/>
        <family val="2"/>
      </rPr>
      <t>(Permanente)</t>
    </r>
  </si>
  <si>
    <r>
      <t>PLANIFICACIÓN DE JORNADAS DE SENSIBILIZACION Y ACCIONES DE PROMOCIÓN DE DERECHOS DE LOS GRUPOS DE ATENCIÓN PRIORITARIA EN SITUACIÓN DE VULNERABILIDAD Y/O RIESGO</t>
    </r>
    <r>
      <rPr>
        <sz val="8"/>
        <color theme="1"/>
        <rFont val="Arial"/>
        <family val="2"/>
      </rPr>
      <t xml:space="preserve"> </t>
    </r>
    <r>
      <rPr>
        <sz val="8"/>
        <color rgb="FFFF0000"/>
        <rFont val="Arial"/>
        <family val="2"/>
      </rPr>
      <t>(Permanente)</t>
    </r>
  </si>
  <si>
    <r>
      <t>JORNADAS DE SENSIBILIZACIÓN DE PROMOCIÓN DE DERECHOS DE LOS GRUPOS DE ATENCIÓN PRIORITARIA EN SITUACIÓN DE VULNERABILIDAD Y/O RIESG</t>
    </r>
    <r>
      <rPr>
        <sz val="8"/>
        <color theme="1"/>
        <rFont val="Arial"/>
        <family val="2"/>
      </rPr>
      <t xml:space="preserve"> </t>
    </r>
    <r>
      <rPr>
        <sz val="8"/>
        <color rgb="FFFF0000"/>
        <rFont val="Arial"/>
        <family val="2"/>
      </rPr>
      <t>(Especifica)</t>
    </r>
  </si>
  <si>
    <r>
      <t>ACCIONES DE PROMOCIÓN EN FECHAS EMBLEMÁTICAS PARA EL RECONOCIMIENTO Y REINVIDICACIÓN DE DERECHOS DE LOS GAP Y PERSONAS EN SITUACIÓN DE VULNERABILIDAD O RIESGO</t>
    </r>
    <r>
      <rPr>
        <sz val="8"/>
        <color theme="1"/>
        <rFont val="Arial"/>
        <family val="2"/>
      </rPr>
      <t xml:space="preserve"> </t>
    </r>
    <r>
      <rPr>
        <sz val="8"/>
        <color rgb="FFFF0000"/>
        <rFont val="Arial"/>
        <family val="2"/>
      </rPr>
      <t>(Especifica)</t>
    </r>
  </si>
  <si>
    <r>
      <t>PLANIFICACIÓN DE ESTRATEGIA PARA VISITAS EN TERRITORIO</t>
    </r>
    <r>
      <rPr>
        <sz val="8"/>
        <color theme="1"/>
        <rFont val="Arial"/>
        <family val="2"/>
      </rPr>
      <t xml:space="preserve"> </t>
    </r>
    <r>
      <rPr>
        <sz val="8"/>
        <color rgb="FFFF0000"/>
        <rFont val="Arial"/>
        <family val="2"/>
      </rPr>
      <t>(Permanente)</t>
    </r>
  </si>
  <si>
    <r>
      <t>ARTICULACIÓN CON ORGANIZACIONES PÚBLICAS Y PRIVADAS PARA EL FOMENTO DEL USO DEL SELLO INCLUSIVO PROGRESIVO</t>
    </r>
    <r>
      <rPr>
        <sz val="8"/>
        <color theme="1"/>
        <rFont val="Arial"/>
        <family val="2"/>
      </rPr>
      <t xml:space="preserve"> </t>
    </r>
    <r>
      <rPr>
        <sz val="8"/>
        <color rgb="FFFF0000"/>
        <rFont val="Arial"/>
        <family val="2"/>
      </rPr>
      <t>(Especifica)</t>
    </r>
  </si>
  <si>
    <r>
      <t>ANÁLISIS, VERIFICACIÓN Y CALIFICACIÓN DE CUMPLIMIENTO DE CRITERIOS PARA LA ACREDITACIÓN DEL SELLO INCLUSIVO</t>
    </r>
    <r>
      <rPr>
        <sz val="8"/>
        <color theme="1"/>
        <rFont val="Arial"/>
        <family val="2"/>
      </rPr>
      <t xml:space="preserve"> </t>
    </r>
    <r>
      <rPr>
        <sz val="8"/>
        <color rgb="FFFF0000"/>
        <rFont val="Arial"/>
        <family val="2"/>
      </rPr>
      <t>(Especifica)</t>
    </r>
  </si>
  <si>
    <r>
      <t>"ACREDITACIÓN Y ENTREGA DEL DISTINTIVO EL SELLO INCLUSIVO PROGRESIVO A NUEVAS EMPRESAS POSTULANTES "</t>
    </r>
    <r>
      <rPr>
        <sz val="8"/>
        <color theme="1"/>
        <rFont val="Arial"/>
        <family val="2"/>
      </rPr>
      <t xml:space="preserve"> </t>
    </r>
    <r>
      <rPr>
        <sz val="8"/>
        <color rgb="FFFF0000"/>
        <rFont val="Arial"/>
        <family val="2"/>
      </rPr>
      <t>(Especifica)</t>
    </r>
  </si>
  <si>
    <r>
      <t>Acciones promocionales a la comunidad educativa sobre nutrición y alimentación saludable por ciclos de vida</t>
    </r>
    <r>
      <rPr>
        <sz val="8"/>
        <color theme="1"/>
        <rFont val="Arial"/>
        <family val="2"/>
      </rPr>
      <t xml:space="preserve"> </t>
    </r>
    <r>
      <rPr>
        <sz val="8"/>
        <color rgb="FFFF0000"/>
        <rFont val="Arial"/>
        <family val="2"/>
      </rPr>
      <t>(Permanente)</t>
    </r>
  </si>
  <si>
    <r>
      <t>Informes técnico mensuales</t>
    </r>
    <r>
      <rPr>
        <sz val="8"/>
        <color theme="1"/>
        <rFont val="Arial"/>
        <family val="2"/>
      </rPr>
      <t xml:space="preserve"> </t>
    </r>
    <r>
      <rPr>
        <sz val="8"/>
        <color rgb="FFFF0000"/>
        <rFont val="Arial"/>
        <family val="2"/>
      </rPr>
      <t>(Permanente)</t>
    </r>
  </si>
  <si>
    <r>
      <t>Visitas técnicas a los manipuladores de alimentos de los mercados municipales</t>
    </r>
    <r>
      <rPr>
        <sz val="8"/>
        <color theme="1"/>
        <rFont val="Arial"/>
        <family val="2"/>
      </rPr>
      <t xml:space="preserve"> </t>
    </r>
    <r>
      <rPr>
        <sz val="8"/>
        <color rgb="FFFF0000"/>
        <rFont val="Arial"/>
        <family val="2"/>
      </rPr>
      <t>(Permanente)</t>
    </r>
  </si>
  <si>
    <r>
      <t>Capacitación a manipuladores de alimentos y clientes en seguridad alimentaria, promoción de nutrición y alimentación saludable por ciclos de vida</t>
    </r>
    <r>
      <rPr>
        <sz val="8"/>
        <color theme="1"/>
        <rFont val="Arial"/>
        <family val="2"/>
      </rPr>
      <t xml:space="preserve"> </t>
    </r>
    <r>
      <rPr>
        <sz val="8"/>
        <color rgb="FFFF0000"/>
        <rFont val="Arial"/>
        <family val="2"/>
      </rPr>
      <t>(Permanente)</t>
    </r>
  </si>
  <si>
    <r>
      <t>Capacitación en seguridad alimentaria, promoción de nutrición y alimentación saludable por ciclos de vida a los administradores de los mercados municipales</t>
    </r>
    <r>
      <rPr>
        <sz val="8"/>
        <color theme="1"/>
        <rFont val="Arial"/>
        <family val="2"/>
      </rPr>
      <t xml:space="preserve"> </t>
    </r>
    <r>
      <rPr>
        <sz val="8"/>
        <color rgb="FFFF0000"/>
        <rFont val="Arial"/>
        <family val="2"/>
      </rPr>
      <t>(Permanente)</t>
    </r>
  </si>
  <si>
    <r>
      <t>Informes mensuales</t>
    </r>
    <r>
      <rPr>
        <sz val="8"/>
        <color theme="1"/>
        <rFont val="Arial"/>
        <family val="2"/>
      </rPr>
      <t xml:space="preserve"> </t>
    </r>
    <r>
      <rPr>
        <sz val="8"/>
        <color rgb="FFFF0000"/>
        <rFont val="Arial"/>
        <family val="2"/>
      </rPr>
      <t>(Permanente)</t>
    </r>
  </si>
  <si>
    <r>
      <t>Visitas técnicas a los manipuladores de alimentos de comercio regularizado</t>
    </r>
    <r>
      <rPr>
        <sz val="8"/>
        <color theme="1"/>
        <rFont val="Arial"/>
        <family val="2"/>
      </rPr>
      <t xml:space="preserve"> </t>
    </r>
    <r>
      <rPr>
        <sz val="8"/>
        <color rgb="FFFF0000"/>
        <rFont val="Arial"/>
        <family val="2"/>
      </rPr>
      <t>(Permanente)</t>
    </r>
  </si>
  <si>
    <r>
      <t>Capacitación a manipuladores de alimentos y familias en seguridad alimentaria, promoción de nutrición y alimentación saludable por ciclos de vida</t>
    </r>
    <r>
      <rPr>
        <sz val="8"/>
        <color theme="1"/>
        <rFont val="Arial"/>
        <family val="2"/>
      </rPr>
      <t xml:space="preserve"> </t>
    </r>
    <r>
      <rPr>
        <sz val="8"/>
        <color rgb="FFFF0000"/>
        <rFont val="Arial"/>
        <family val="2"/>
      </rPr>
      <t>(Permanente)</t>
    </r>
  </si>
  <si>
    <r>
      <t>Recolección de muestra de alimentos</t>
    </r>
    <r>
      <rPr>
        <sz val="8"/>
        <color theme="1"/>
        <rFont val="Arial"/>
        <family val="2"/>
      </rPr>
      <t xml:space="preserve"> </t>
    </r>
    <r>
      <rPr>
        <sz val="8"/>
        <color rgb="FFFF0000"/>
        <rFont val="Arial"/>
        <family val="2"/>
      </rPr>
      <t>(Permanente)</t>
    </r>
  </si>
  <si>
    <r>
      <t>Entrega de muestras de alimentos en el Laboratorio de Alimentos</t>
    </r>
    <r>
      <rPr>
        <sz val="8"/>
        <color theme="1"/>
        <rFont val="Arial"/>
        <family val="2"/>
      </rPr>
      <t xml:space="preserve"> </t>
    </r>
    <r>
      <rPr>
        <sz val="8"/>
        <color rgb="FFFF0000"/>
        <rFont val="Arial"/>
        <family val="2"/>
      </rPr>
      <t>(Permanente)</t>
    </r>
  </si>
  <si>
    <r>
      <t>Socialización seguimiento de los resultados del análisis microbiológico a la población intervenida</t>
    </r>
    <r>
      <rPr>
        <sz val="8"/>
        <color theme="1"/>
        <rFont val="Arial"/>
        <family val="2"/>
      </rPr>
      <t xml:space="preserve"> </t>
    </r>
    <r>
      <rPr>
        <sz val="8"/>
        <color rgb="FFFF0000"/>
        <rFont val="Arial"/>
        <family val="2"/>
      </rPr>
      <t>(Permanente)</t>
    </r>
  </si>
  <si>
    <r>
      <t>Realización de talleres con líderes/as comunitarios/as capacitado/as en temáticas de Salud Sexual y Salud Reproductiva</t>
    </r>
    <r>
      <rPr>
        <sz val="8"/>
        <color theme="1"/>
        <rFont val="Arial"/>
        <family val="2"/>
      </rPr>
      <t xml:space="preserve"> </t>
    </r>
    <r>
      <rPr>
        <sz val="8"/>
        <color rgb="FFFF0000"/>
        <rFont val="Arial"/>
        <family val="2"/>
      </rPr>
      <t>(Permanente)</t>
    </r>
  </si>
  <si>
    <r>
      <t>Realización de talleres con líderes/as comunitarios/as capacitado/as en temáticas de Salud Mental.</t>
    </r>
    <r>
      <rPr>
        <sz val="8"/>
        <color theme="1"/>
        <rFont val="Arial"/>
        <family val="2"/>
      </rPr>
      <t xml:space="preserve"> </t>
    </r>
    <r>
      <rPr>
        <sz val="8"/>
        <color rgb="FFFF0000"/>
        <rFont val="Arial"/>
        <family val="2"/>
      </rPr>
      <t>(Permanente)</t>
    </r>
  </si>
  <si>
    <r>
      <t>Realización de talleres con la comunidad involucrada para trabajar participativamente el Plan de Acción zonal</t>
    </r>
    <r>
      <rPr>
        <sz val="8"/>
        <color theme="1"/>
        <rFont val="Arial"/>
        <family val="2"/>
      </rPr>
      <t xml:space="preserve"> </t>
    </r>
    <r>
      <rPr>
        <sz val="8"/>
        <color rgb="FFFF0000"/>
        <rFont val="Arial"/>
        <family val="2"/>
      </rPr>
      <t>(Especifica)</t>
    </r>
  </si>
  <si>
    <r>
      <t>Realización del Encuentro intergeneracional de adultos con adolescentes acerca de relatos de vida</t>
    </r>
    <r>
      <rPr>
        <sz val="8"/>
        <color theme="1"/>
        <rFont val="Arial"/>
        <family val="2"/>
      </rPr>
      <t xml:space="preserve"> </t>
    </r>
    <r>
      <rPr>
        <sz val="8"/>
        <color rgb="FFFF0000"/>
        <rFont val="Arial"/>
        <family val="2"/>
      </rPr>
      <t>(Especifica)</t>
    </r>
  </si>
  <si>
    <r>
      <t>Reuniones de Coordinación intra e inter institucionales para priorizar las acciones en los espacios para la promoción de la salud a nivel territorial</t>
    </r>
    <r>
      <rPr>
        <sz val="8"/>
        <color theme="1"/>
        <rFont val="Arial"/>
        <family val="2"/>
      </rPr>
      <t xml:space="preserve"> </t>
    </r>
    <r>
      <rPr>
        <sz val="8"/>
        <color rgb="FFFF0000"/>
        <rFont val="Arial"/>
        <family val="2"/>
      </rPr>
      <t>(Especifica)</t>
    </r>
  </si>
  <si>
    <r>
      <t>Evento de certificación comunitaria de los espacios para la promoción de la salud</t>
    </r>
    <r>
      <rPr>
        <sz val="8"/>
        <color theme="1"/>
        <rFont val="Arial"/>
        <family val="2"/>
      </rPr>
      <t xml:space="preserve"> </t>
    </r>
    <r>
      <rPr>
        <sz val="8"/>
        <color rgb="FFFF0000"/>
        <rFont val="Arial"/>
        <family val="2"/>
      </rPr>
      <t>(Especifica)</t>
    </r>
  </si>
  <si>
    <r>
      <t>Recepción de denuncias</t>
    </r>
    <r>
      <rPr>
        <sz val="8"/>
        <color theme="1"/>
        <rFont val="Arial"/>
        <family val="2"/>
      </rPr>
      <t xml:space="preserve"> </t>
    </r>
    <r>
      <rPr>
        <sz val="8"/>
        <color rgb="FFFF0000"/>
        <rFont val="Arial"/>
        <family val="2"/>
      </rPr>
      <t>(Permanente)</t>
    </r>
  </si>
  <si>
    <r>
      <t>Realización de inspecciones de animales de compañía en espacio público</t>
    </r>
    <r>
      <rPr>
        <sz val="8"/>
        <color theme="1"/>
        <rFont val="Arial"/>
        <family val="2"/>
      </rPr>
      <t xml:space="preserve"> </t>
    </r>
    <r>
      <rPr>
        <sz val="8"/>
        <color rgb="FFFF0000"/>
        <rFont val="Arial"/>
        <family val="2"/>
      </rPr>
      <t>(Permanente)</t>
    </r>
  </si>
  <si>
    <r>
      <t>Inspección y control de animales en situación de plaga en espacios públicos</t>
    </r>
    <r>
      <rPr>
        <sz val="8"/>
        <color theme="1"/>
        <rFont val="Arial"/>
        <family val="2"/>
      </rPr>
      <t xml:space="preserve"> </t>
    </r>
    <r>
      <rPr>
        <sz val="8"/>
        <color rgb="FFFF0000"/>
        <rFont val="Arial"/>
        <family val="2"/>
      </rPr>
      <t>(Permanente)</t>
    </r>
  </si>
  <si>
    <r>
      <t>Coordinación y difusión de la campaña de esterilización según cronograma</t>
    </r>
    <r>
      <rPr>
        <sz val="8"/>
        <color theme="1"/>
        <rFont val="Arial"/>
        <family val="2"/>
      </rPr>
      <t xml:space="preserve"> </t>
    </r>
    <r>
      <rPr>
        <sz val="8"/>
        <color rgb="FFFF0000"/>
        <rFont val="Arial"/>
        <family val="2"/>
      </rPr>
      <t>(Permanente)</t>
    </r>
  </si>
  <si>
    <r>
      <t>Realización de charlas educativas sobre convivencia y tenencia responsable con la fauna urbana en su jurisdicción</t>
    </r>
    <r>
      <rPr>
        <sz val="8"/>
        <color theme="1"/>
        <rFont val="Arial"/>
        <family val="2"/>
      </rPr>
      <t xml:space="preserve"> </t>
    </r>
    <r>
      <rPr>
        <sz val="8"/>
        <color rgb="FFFF0000"/>
        <rFont val="Arial"/>
        <family val="2"/>
      </rPr>
      <t>(Permanente)</t>
    </r>
  </si>
  <si>
    <r>
      <t>Ejecución de Consejos Zonales de Seguridad conforme a la Ordenanza Metropolitana 001.</t>
    </r>
    <r>
      <rPr>
        <sz val="8"/>
        <color theme="1"/>
        <rFont val="Arial"/>
        <family val="2"/>
      </rPr>
      <t xml:space="preserve"> </t>
    </r>
    <r>
      <rPr>
        <sz val="8"/>
        <color rgb="FFFF0000"/>
        <rFont val="Arial"/>
        <family val="2"/>
      </rPr>
      <t>(Permanente)</t>
    </r>
  </si>
  <si>
    <r>
      <t>Desarrollar simulacros comunitarios para la preparación y respuesta ciudadana ante situaciones que afecten la seguridad ciudadana.</t>
    </r>
    <r>
      <rPr>
        <sz val="8"/>
        <color theme="1"/>
        <rFont val="Arial"/>
        <family val="2"/>
      </rPr>
      <t xml:space="preserve"> </t>
    </r>
    <r>
      <rPr>
        <sz val="8"/>
        <color rgb="FFFF0000"/>
        <rFont val="Arial"/>
        <family val="2"/>
      </rPr>
      <t>(Permanente)</t>
    </r>
  </si>
  <si>
    <r>
      <t>Realizar mesas operativas interinstitucionales para dar respuesta a los requerimientos ciudadanos de seguridad</t>
    </r>
    <r>
      <rPr>
        <sz val="8"/>
        <color theme="1"/>
        <rFont val="Arial"/>
        <family val="2"/>
      </rPr>
      <t xml:space="preserve"> </t>
    </r>
    <r>
      <rPr>
        <sz val="8"/>
        <color rgb="FFFF0000"/>
        <rFont val="Arial"/>
        <family val="2"/>
      </rPr>
      <t>(Permanente)</t>
    </r>
  </si>
  <si>
    <r>
      <t>Organizar a los barrios para la activación de eventos de seguridad y convivencia</t>
    </r>
    <r>
      <rPr>
        <sz val="8"/>
        <color theme="1"/>
        <rFont val="Arial"/>
        <family val="2"/>
      </rPr>
      <t xml:space="preserve"> </t>
    </r>
    <r>
      <rPr>
        <sz val="8"/>
        <color rgb="FFFF0000"/>
        <rFont val="Arial"/>
        <family val="2"/>
      </rPr>
      <t>(Permanente)</t>
    </r>
  </si>
  <si>
    <r>
      <t>Levantamiento de diagnósticos en los barrios con mayor índice de inseguridad mediante marchas exploratorias</t>
    </r>
    <r>
      <rPr>
        <sz val="8"/>
        <color theme="1"/>
        <rFont val="Arial"/>
        <family val="2"/>
      </rPr>
      <t xml:space="preserve"> </t>
    </r>
    <r>
      <rPr>
        <sz val="8"/>
        <color rgb="FFFF0000"/>
        <rFont val="Arial"/>
        <family val="2"/>
      </rPr>
      <t>(Especifica)</t>
    </r>
  </si>
  <si>
    <r>
      <t>Rehabilitación de espacios públicos a través del adecentamiento físico de los mismos, en intervenciones conjuntas con la ciudadanía y Secretaría de Seguridad.</t>
    </r>
    <r>
      <rPr>
        <sz val="8"/>
        <color theme="1"/>
        <rFont val="Arial"/>
        <family val="2"/>
      </rPr>
      <t xml:space="preserve"> </t>
    </r>
    <r>
      <rPr>
        <sz val="8"/>
        <color rgb="FFFF0000"/>
        <rFont val="Arial"/>
        <family val="2"/>
      </rPr>
      <t>(Permanente)</t>
    </r>
  </si>
  <si>
    <r>
      <t>Detección y priorización de necesidades de iluminación en espacios ornamentales</t>
    </r>
    <r>
      <rPr>
        <sz val="8"/>
        <color theme="1"/>
        <rFont val="Arial"/>
        <family val="2"/>
      </rPr>
      <t xml:space="preserve"> </t>
    </r>
    <r>
      <rPr>
        <sz val="8"/>
        <color rgb="FFFF0000"/>
        <rFont val="Arial"/>
        <family val="2"/>
      </rPr>
      <t>(Permanente)</t>
    </r>
  </si>
  <si>
    <r>
      <t>Socialización y activación de sistemas de alarmas comunitarias, cctv, cámaras de analítica de video o de alerta temprana para fortalecer la seguridad y convivencia ciudadana.</t>
    </r>
    <r>
      <rPr>
        <sz val="8"/>
        <color theme="1"/>
        <rFont val="Arial"/>
        <family val="2"/>
      </rPr>
      <t xml:space="preserve"> </t>
    </r>
    <r>
      <rPr>
        <sz val="8"/>
        <color rgb="FFFF0000"/>
        <rFont val="Arial"/>
        <family val="2"/>
      </rPr>
      <t>(Permanente)</t>
    </r>
  </si>
  <si>
    <r>
      <t>Participar en acciones para control y protección de la ciudadanía en el territorio</t>
    </r>
    <r>
      <rPr>
        <sz val="8"/>
        <color theme="1"/>
        <rFont val="Arial"/>
        <family val="2"/>
      </rPr>
      <t xml:space="preserve"> </t>
    </r>
    <r>
      <rPr>
        <sz val="8"/>
        <color rgb="FFFF0000"/>
        <rFont val="Arial"/>
        <family val="2"/>
      </rPr>
      <t>(Permanente)</t>
    </r>
  </si>
  <si>
    <r>
      <t>Realizar visitas y patrullaje en sitios de riesgo de desastre</t>
    </r>
    <r>
      <rPr>
        <sz val="8"/>
        <color theme="1"/>
        <rFont val="Arial"/>
        <family val="2"/>
      </rPr>
      <t xml:space="preserve"> </t>
    </r>
    <r>
      <rPr>
        <sz val="8"/>
        <color rgb="FFFF0000"/>
        <rFont val="Arial"/>
        <family val="2"/>
      </rPr>
      <t>(Permanente)</t>
    </r>
  </si>
  <si>
    <r>
      <t>Organizar mingas para trabajos menores en previsión de desastres</t>
    </r>
    <r>
      <rPr>
        <sz val="8"/>
        <color theme="1"/>
        <rFont val="Arial"/>
        <family val="2"/>
      </rPr>
      <t xml:space="preserve"> </t>
    </r>
    <r>
      <rPr>
        <sz val="8"/>
        <color rgb="FFFF0000"/>
        <rFont val="Arial"/>
        <family val="2"/>
      </rPr>
      <t>(Permanente)</t>
    </r>
  </si>
  <si>
    <r>
      <t>Activación por emergencia de los Albergues de Emergencia y ARTs a solicitud de entidades del Sistema de Gestión de Riesgos del DMQ</t>
    </r>
    <r>
      <rPr>
        <sz val="8"/>
        <color theme="1"/>
        <rFont val="Arial"/>
        <family val="2"/>
      </rPr>
      <t xml:space="preserve"> </t>
    </r>
    <r>
      <rPr>
        <sz val="8"/>
        <color rgb="FFFF0000"/>
        <rFont val="Arial"/>
        <family val="2"/>
      </rPr>
      <t>(Permanente)</t>
    </r>
  </si>
  <si>
    <r>
      <t>Realizar el inventario de bienes de los Albergues y ARTs</t>
    </r>
    <r>
      <rPr>
        <sz val="8"/>
        <color theme="1"/>
        <rFont val="Arial"/>
        <family val="2"/>
      </rPr>
      <t xml:space="preserve"> </t>
    </r>
    <r>
      <rPr>
        <sz val="8"/>
        <color rgb="FFFF0000"/>
        <rFont val="Arial"/>
        <family val="2"/>
      </rPr>
      <t>(Permanente)</t>
    </r>
  </si>
  <si>
    <r>
      <t>Evaluar y gestionar recursos en caso de emergencias presentadas en el territorio</t>
    </r>
    <r>
      <rPr>
        <sz val="8"/>
        <color theme="1"/>
        <rFont val="Arial"/>
        <family val="2"/>
      </rPr>
      <t xml:space="preserve"> </t>
    </r>
    <r>
      <rPr>
        <sz val="8"/>
        <color rgb="FFFF0000"/>
        <rFont val="Arial"/>
        <family val="2"/>
      </rPr>
      <t>(Permanente)</t>
    </r>
  </si>
  <si>
    <r>
      <t>Instalar el Puesto de Mando Unificado en eventos que así lo requieran o por solicitud de la SGSG</t>
    </r>
    <r>
      <rPr>
        <sz val="8"/>
        <color theme="1"/>
        <rFont val="Arial"/>
        <family val="2"/>
      </rPr>
      <t xml:space="preserve"> </t>
    </r>
    <r>
      <rPr>
        <sz val="8"/>
        <color rgb="FFFF0000"/>
        <rFont val="Arial"/>
        <family val="2"/>
      </rPr>
      <t>(Permanente)</t>
    </r>
  </si>
  <si>
    <r>
      <t>Reuniones de seguimiento,monitoreo y apoyo técnico para fortalecer UPAS</t>
    </r>
    <r>
      <rPr>
        <sz val="8"/>
        <color theme="1"/>
        <rFont val="Arial"/>
        <family val="2"/>
      </rPr>
      <t xml:space="preserve"> </t>
    </r>
    <r>
      <rPr>
        <sz val="8"/>
        <color rgb="FFFF0000"/>
        <rFont val="Arial"/>
        <family val="2"/>
      </rPr>
      <t>(Permanente)</t>
    </r>
  </si>
  <si>
    <r>
      <t>Capacitación en practicas agrícolas andinas y consumo orgánico saludable</t>
    </r>
    <r>
      <rPr>
        <sz val="8"/>
        <color theme="1"/>
        <rFont val="Arial"/>
        <family val="2"/>
      </rPr>
      <t xml:space="preserve"> </t>
    </r>
    <r>
      <rPr>
        <sz val="8"/>
        <color rgb="FFFF0000"/>
        <rFont val="Arial"/>
        <family val="2"/>
      </rPr>
      <t>(Especifica)</t>
    </r>
  </si>
  <si>
    <r>
      <t>Dotación de insumos agropecuarios, materiales y herramientas para la implementación y mantenimiento de las UPAS</t>
    </r>
    <r>
      <rPr>
        <sz val="8"/>
        <color theme="1"/>
        <rFont val="Arial"/>
        <family val="2"/>
      </rPr>
      <t xml:space="preserve"> </t>
    </r>
    <r>
      <rPr>
        <sz val="8"/>
        <color rgb="FFFF0000"/>
        <rFont val="Arial"/>
        <family val="2"/>
      </rPr>
      <t>(Especifica)</t>
    </r>
  </si>
  <si>
    <r>
      <t>Levantamiento de información necesaria para proveer de facilidades productivas y del equipamiento</t>
    </r>
    <r>
      <rPr>
        <sz val="8"/>
        <color theme="1"/>
        <rFont val="Arial"/>
        <family val="2"/>
      </rPr>
      <t xml:space="preserve"> </t>
    </r>
    <r>
      <rPr>
        <sz val="8"/>
        <color rgb="FFFF0000"/>
        <rFont val="Arial"/>
        <family val="2"/>
      </rPr>
      <t>(Especifica)</t>
    </r>
  </si>
  <si>
    <r>
      <t>Implementación de equipamiento para el desarrollo económico</t>
    </r>
    <r>
      <rPr>
        <sz val="8"/>
        <color theme="1"/>
        <rFont val="Arial"/>
        <family val="2"/>
      </rPr>
      <t xml:space="preserve"> </t>
    </r>
    <r>
      <rPr>
        <sz val="8"/>
        <color rgb="FFFF0000"/>
        <rFont val="Arial"/>
        <family val="2"/>
      </rPr>
      <t>(Especifica)</t>
    </r>
  </si>
  <si>
    <r>
      <t>Levantamiento de información de empresas, negocios, emprendedores unipersonales, familiares o asociativos de las parroquias de la zonal</t>
    </r>
    <r>
      <rPr>
        <sz val="8"/>
        <color theme="1"/>
        <rFont val="Arial"/>
        <family val="2"/>
      </rPr>
      <t xml:space="preserve"> </t>
    </r>
    <r>
      <rPr>
        <sz val="8"/>
        <color rgb="FFFF0000"/>
        <rFont val="Arial"/>
        <family val="2"/>
      </rPr>
      <t>(Especifica)</t>
    </r>
  </si>
  <si>
    <r>
      <t>Actualización y Análisis de bases de datos para establecer necesidades de acciones por parte del MDMQ</t>
    </r>
    <r>
      <rPr>
        <sz val="8"/>
        <color theme="1"/>
        <rFont val="Arial"/>
        <family val="2"/>
      </rPr>
      <t xml:space="preserve"> </t>
    </r>
    <r>
      <rPr>
        <sz val="8"/>
        <color rgb="FFFF0000"/>
        <rFont val="Arial"/>
        <family val="2"/>
      </rPr>
      <t>(Especifica)</t>
    </r>
  </si>
  <si>
    <r>
      <t>Coordinación con CONQUITO y Registro de buscadores de empleo y direccionamiento al Sistema de Bolsa Metropolitana de empleo</t>
    </r>
    <r>
      <rPr>
        <sz val="8"/>
        <color theme="1"/>
        <rFont val="Arial"/>
        <family val="2"/>
      </rPr>
      <t xml:space="preserve"> </t>
    </r>
    <r>
      <rPr>
        <sz val="8"/>
        <color rgb="FFFF0000"/>
        <rFont val="Arial"/>
        <family val="2"/>
      </rPr>
      <t>(Permanente)</t>
    </r>
  </si>
  <si>
    <r>
      <t>Servicios de asesoramiento y capacitación para actores territoriales para el desarrollo de capacidades técnicas y productivas para el desarrollo productivo local</t>
    </r>
    <r>
      <rPr>
        <sz val="8"/>
        <color theme="1"/>
        <rFont val="Arial"/>
        <family val="2"/>
      </rPr>
      <t xml:space="preserve"> </t>
    </r>
    <r>
      <rPr>
        <sz val="8"/>
        <color rgb="FFFF0000"/>
        <rFont val="Arial"/>
        <family val="2"/>
      </rPr>
      <t>(Especifica)</t>
    </r>
  </si>
  <si>
    <r>
      <t>Planificación y recepción de beneficiarios para la participación en circuitos feriales</t>
    </r>
    <r>
      <rPr>
        <sz val="8"/>
        <color theme="1"/>
        <rFont val="Arial"/>
        <family val="2"/>
      </rPr>
      <t xml:space="preserve"> </t>
    </r>
    <r>
      <rPr>
        <sz val="8"/>
        <color rgb="FFFF0000"/>
        <rFont val="Arial"/>
        <family val="2"/>
      </rPr>
      <t>(Permanente)</t>
    </r>
  </si>
  <si>
    <r>
      <t>Ejecución de circuitos feriales realizados en el marco de la economía popular y solidaria</t>
    </r>
    <r>
      <rPr>
        <sz val="8"/>
        <color theme="1"/>
        <rFont val="Arial"/>
        <family val="2"/>
      </rPr>
      <t xml:space="preserve"> </t>
    </r>
    <r>
      <rPr>
        <sz val="8"/>
        <color rgb="FFFF0000"/>
        <rFont val="Arial"/>
        <family val="2"/>
      </rPr>
      <t>(Permanente)</t>
    </r>
  </si>
  <si>
    <r>
      <t>Evaluación de circuitos feriales realizados y estadísticas de usuarios</t>
    </r>
    <r>
      <rPr>
        <sz val="8"/>
        <color theme="1"/>
        <rFont val="Arial"/>
        <family val="2"/>
      </rPr>
      <t xml:space="preserve"> </t>
    </r>
    <r>
      <rPr>
        <sz val="8"/>
        <color rgb="FFFF0000"/>
        <rFont val="Arial"/>
        <family val="2"/>
      </rPr>
      <t>(Especifica)</t>
    </r>
  </si>
  <si>
    <t xml:space="preserve">RESUMEN EJECUCION PRESUPUESTARIA </t>
  </si>
  <si>
    <t>PROGRAMAS/ PROYECTOS</t>
  </si>
  <si>
    <t>ASIGNACION INICIAL</t>
  </si>
  <si>
    <t>REFORMADO</t>
  </si>
  <si>
    <t>CERTIFICADO</t>
  </si>
  <si>
    <t>%</t>
  </si>
  <si>
    <t>COMPROMETIDO</t>
  </si>
  <si>
    <t>DISPONIBLE</t>
  </si>
  <si>
    <t>2. SISTEMA DE PARTICIPACIÓN CIUDADANA</t>
  </si>
  <si>
    <t>3. VOLUNTARIADO QUITO ACCIÓN</t>
  </si>
  <si>
    <t>TOTAL PROGRAMA I</t>
  </si>
  <si>
    <t>1. AGENDA CULTURAL METROPOLITANA</t>
  </si>
  <si>
    <t>TOTAL PROGRAMA II</t>
  </si>
  <si>
    <t>TOTAL PROGRAMA III</t>
  </si>
  <si>
    <t>1. PROMOCIÓN DE DERECHOS DE GRUPOS DE ATEN</t>
  </si>
  <si>
    <t>TOTAL PROGRAMA IV</t>
  </si>
  <si>
    <t xml:space="preserve">PROGRAMA V: SALUD AL DIA </t>
  </si>
  <si>
    <t>1. SEGURIDAD ALIMENTARIA Y DE CALIDAD</t>
  </si>
  <si>
    <t>2. SISTEMA INTEGRAL DE PROMOCIÓN DE LA SALUD</t>
  </si>
  <si>
    <t>TOTAL PROGRAMA V</t>
  </si>
  <si>
    <t>TOTAL PROGRAMA VI</t>
  </si>
  <si>
    <t>TOTAL PROGRAMA VII</t>
  </si>
  <si>
    <t>TOTAL  PROYECTOS  INVERSIÓN AZC</t>
  </si>
  <si>
    <t>PROGRAMA VIII FORTALECIMIENTO INSTITUCIONAL</t>
  </si>
  <si>
    <t>1.GASTOS ADMINISTRATIVOS</t>
  </si>
  <si>
    <t>2 REMUNERACION PERSONAL</t>
  </si>
  <si>
    <t>TOTAL PROGRAMA VIII</t>
  </si>
  <si>
    <t>TOTALES</t>
  </si>
  <si>
    <t xml:space="preserve"> PROGRAMA I: CORRESPONSABILIDAD CIUDADANA</t>
  </si>
  <si>
    <t>1. INFRAESTRUCTURA COMUNITARIA</t>
  </si>
  <si>
    <t>2. PRESUPUESTOS PARTICIPATIVOS</t>
  </si>
  <si>
    <t>1. SOMOS QUITO</t>
  </si>
  <si>
    <t xml:space="preserve"> PROGRAMA  II. FORTALECIMIENTO DE LA GOBERNANZA DEMOCRÁTICA</t>
  </si>
  <si>
    <t xml:space="preserve">4. COLONIAS VACACIONALES </t>
  </si>
  <si>
    <t>PROGRAMA III:  ARTE, CULTURA Y PATRIMONIO</t>
  </si>
  <si>
    <t>2. TERRITORIO Y CULTURA</t>
  </si>
  <si>
    <t xml:space="preserve">PROGRAMA IV: PROMOCIÓN DE DERECHOS </t>
  </si>
  <si>
    <t xml:space="preserve">PROGRAMA VI: FAUNA URBANA </t>
  </si>
  <si>
    <t>1. MANEJO DE FAUNA URBANA</t>
  </si>
  <si>
    <t>PROGRAMA VII:  QUITO SIN MIEDO</t>
  </si>
  <si>
    <t>1. PREVENCIÓN SITUACIONAL Y CONVIVENCIA PACIFICA</t>
  </si>
  <si>
    <t>PROGRAMA VIII:  GESTIÓN DE RIESGOS</t>
  </si>
  <si>
    <t>1. ATENCIÓN DE EMERGENCIA EN EL DMQ</t>
  </si>
  <si>
    <t>TOTAL PROGRAMA IX</t>
  </si>
  <si>
    <t>PROGRAMA IX:  PRODUCTIVIDAD SOSTENIBLE</t>
  </si>
  <si>
    <t>1. FOMENTO PRODUCTIVO TERRITORIAL</t>
  </si>
  <si>
    <t>ATRÁS</t>
  </si>
  <si>
    <t xml:space="preserve">Servicio de rastreo Satelital </t>
  </si>
  <si>
    <t>Audioauto S.A</t>
  </si>
  <si>
    <t>FECHA CERTIFIC.</t>
  </si>
  <si>
    <t>0100000150</t>
  </si>
  <si>
    <t>Inproarsecurity CÍA</t>
  </si>
  <si>
    <t xml:space="preserve">Servicio de vigilancia enero a novimebre </t>
  </si>
  <si>
    <t>0100000152</t>
  </si>
  <si>
    <t>Torres Espin Luis Javier</t>
  </si>
  <si>
    <t>Servicio de mantenimiento Jardín Vertical</t>
  </si>
  <si>
    <t>0100000158</t>
  </si>
  <si>
    <t>Atimasa S.A</t>
  </si>
  <si>
    <t>Abastecimiento Combustible</t>
  </si>
  <si>
    <t>0100000156</t>
  </si>
  <si>
    <t>Servicio de Limpieza y Responsables ASOLIMEFI</t>
  </si>
  <si>
    <t>Servicio de Limpieza mes de enero a diciembre de 2021</t>
  </si>
  <si>
    <t>0100000148</t>
  </si>
  <si>
    <t xml:space="preserve">Empresa Pública Metrop. Agua Potable </t>
  </si>
  <si>
    <t>Pago de Consumo de agua potable</t>
  </si>
  <si>
    <t>Banco del Pichincha</t>
  </si>
  <si>
    <t xml:space="preserve">Fondo a rendir cuentas comisiones bancarias </t>
  </si>
  <si>
    <t xml:space="preserve">Empres Eléctrica Quito </t>
  </si>
  <si>
    <t xml:space="preserve">Pago de energía eléctrica </t>
  </si>
  <si>
    <t>Corporación Nacional Telecomunicaciones CNT</t>
  </si>
  <si>
    <t>Pago de consumo de teléfonos</t>
  </si>
  <si>
    <t>Expensas bienes inmuebles de propiedad municipal</t>
  </si>
  <si>
    <t>0100002784</t>
  </si>
  <si>
    <t>Camino Real Conjunto</t>
  </si>
  <si>
    <t>Centro Comercial la Manzana</t>
  </si>
  <si>
    <t>Centro Comercial Pasaje Baca</t>
  </si>
  <si>
    <t xml:space="preserve">Contratación de un Nutricionista o ingeniero de alimentos </t>
  </si>
  <si>
    <t>0100004050</t>
  </si>
  <si>
    <t>0100004045</t>
  </si>
  <si>
    <t>Contratación de Psicólogo Clínico</t>
  </si>
  <si>
    <t>0100004620</t>
  </si>
  <si>
    <t>0100004624</t>
  </si>
  <si>
    <t xml:space="preserve">Mantenimiento bomba y cisterna </t>
  </si>
  <si>
    <t>0100005272</t>
  </si>
  <si>
    <t>Equipos de Larga Duración</t>
  </si>
  <si>
    <t>Equipos de Larga Duración Motoguadaña</t>
  </si>
  <si>
    <t>0100005294</t>
  </si>
  <si>
    <t>0100005302</t>
  </si>
  <si>
    <t>0100005326</t>
  </si>
  <si>
    <t>Adquisición de Menaje</t>
  </si>
  <si>
    <t xml:space="preserve">Servicio de Rentas Internas </t>
  </si>
  <si>
    <t xml:space="preserve">Revisión y Matrícula  de Vehículos  </t>
  </si>
  <si>
    <t>Municipio de Quito</t>
  </si>
  <si>
    <t>Edificio Casa Pontón</t>
  </si>
  <si>
    <t>Servicio de manteniento de impresoras y escáner</t>
  </si>
  <si>
    <t>0100006107</t>
  </si>
  <si>
    <t xml:space="preserve">Compra material de ferretería </t>
  </si>
  <si>
    <t>0100058296</t>
  </si>
  <si>
    <t>Compra de material de  ferretería</t>
  </si>
  <si>
    <t>0100006303</t>
  </si>
  <si>
    <t>Compra de materiales de ferretería</t>
  </si>
  <si>
    <t>0100006315</t>
  </si>
  <si>
    <t xml:space="preserve">Compra de material de ferretería </t>
  </si>
  <si>
    <t xml:space="preserve">Compra de materiales de ferretería </t>
  </si>
  <si>
    <t>0100006307</t>
  </si>
  <si>
    <t>0100006305</t>
  </si>
  <si>
    <t>Compra material de ferretería</t>
  </si>
  <si>
    <t>0100006304</t>
  </si>
  <si>
    <t xml:space="preserve">Fumigax  del Ecuador </t>
  </si>
  <si>
    <t>Ferrotools</t>
  </si>
  <si>
    <t>Herrera Minchala Isabel Asucena</t>
  </si>
  <si>
    <t xml:space="preserve">Compra de toalla para baños </t>
  </si>
  <si>
    <t>0100007838</t>
  </si>
  <si>
    <t>0100007834</t>
  </si>
  <si>
    <t>0100007864</t>
  </si>
  <si>
    <t>0100007858</t>
  </si>
  <si>
    <t>0100007847</t>
  </si>
  <si>
    <t xml:space="preserve">Guerrero Puente Adriana Paulina </t>
  </si>
  <si>
    <t xml:space="preserve">Ramirez Nieto Angela </t>
  </si>
  <si>
    <t>Compra de Cubrecamas</t>
  </si>
  <si>
    <t>Asociación de Producción Tectiles Efason</t>
  </si>
  <si>
    <t xml:space="preserve">Compra de Cobija y Almoadas </t>
  </si>
  <si>
    <t xml:space="preserve">Saltos Naranjo Gladys Carmita </t>
  </si>
  <si>
    <t>Materiales de aseo</t>
  </si>
  <si>
    <t>0100010315</t>
  </si>
  <si>
    <t>Compra de llantas</t>
  </si>
  <si>
    <t>0100010314</t>
  </si>
  <si>
    <t>0100005516-0100010360</t>
  </si>
  <si>
    <t>Capacitación</t>
  </si>
  <si>
    <t>0100010593</t>
  </si>
  <si>
    <t xml:space="preserve">Capacitaciones </t>
  </si>
  <si>
    <t>Richards Naranjo Joselyn</t>
  </si>
  <si>
    <t>García Almeida Gabriela Fernanda</t>
  </si>
  <si>
    <t>0100011015</t>
  </si>
  <si>
    <t>0100011075</t>
  </si>
  <si>
    <t>0100011082</t>
  </si>
  <si>
    <t>0100011078</t>
  </si>
  <si>
    <t>Adquisición de Peludios</t>
  </si>
  <si>
    <t>0100011040</t>
  </si>
  <si>
    <t>0100011037</t>
  </si>
  <si>
    <t>Cableado estructurado</t>
  </si>
  <si>
    <t>01000011091</t>
  </si>
  <si>
    <t xml:space="preserve">Impresión de etiquetas </t>
  </si>
  <si>
    <t>0100011160</t>
  </si>
  <si>
    <t>Briones Cedeño Kaby Gabriel</t>
  </si>
  <si>
    <t>Asosemaednues</t>
  </si>
  <si>
    <t>Asosermaednues</t>
  </si>
  <si>
    <t>Centro Aumotriz Moya Baca Cía Ltda.</t>
  </si>
  <si>
    <t>Materiales de limpieza</t>
  </si>
  <si>
    <t>Mantenimiento por garantía extendida</t>
  </si>
  <si>
    <t>0100011293</t>
  </si>
  <si>
    <t>0100011459</t>
  </si>
  <si>
    <t>0100011458</t>
  </si>
  <si>
    <t>Cadena Cabascango Luis Manuel</t>
  </si>
  <si>
    <t xml:space="preserve">Vestimenta Unidad de Seguridad </t>
  </si>
  <si>
    <t>0100011721</t>
  </si>
  <si>
    <t>MCO 001</t>
  </si>
  <si>
    <t>MCO 006</t>
  </si>
  <si>
    <t>MCO 007</t>
  </si>
  <si>
    <t>MCO 008</t>
  </si>
  <si>
    <t>MCO 003</t>
  </si>
  <si>
    <t>MCO 002</t>
  </si>
  <si>
    <t>MCO 004</t>
  </si>
  <si>
    <t>MCO 009</t>
  </si>
  <si>
    <t>READOQUINADO DE LA CALLE GUATEMALA, DESDE LA CALLE BENALCAZAR HASTA LA CALLE BOMBONA, BARRIO SAN JUAN, PARROQUIA SAN JUAN</t>
  </si>
  <si>
    <t>READOQUINADO DE LA CALLE AGUARICO, DESDE LA CALLE 10 DE OCTUBRE  SENTIDO DESCENDENTE, BARRIO LA LIBERTAD ALTO, PARROQUIA LA LIBERTAD</t>
  </si>
  <si>
    <t>Adquisición Combustible mecánica</t>
  </si>
  <si>
    <t>0100012433</t>
  </si>
  <si>
    <t xml:space="preserve">Repuesto mecánica de vehículos </t>
  </si>
  <si>
    <t>0100012435</t>
  </si>
  <si>
    <t xml:space="preserve">Servicio de mecánica </t>
  </si>
  <si>
    <t>0100012431</t>
  </si>
  <si>
    <t>Zapata Baquero Juan Manuel</t>
  </si>
  <si>
    <t xml:space="preserve">Certificado para certif. gravámenes </t>
  </si>
  <si>
    <t>0100012592</t>
  </si>
  <si>
    <t>Pullas Garcia Daniel Ernesto</t>
  </si>
  <si>
    <t xml:space="preserve">Bayas Sanchéz Augusto </t>
  </si>
  <si>
    <t xml:space="preserve">Adquisición de insumos agrícolas </t>
  </si>
  <si>
    <t>0100012601</t>
  </si>
  <si>
    <t>0100011453</t>
  </si>
  <si>
    <t>Bayas Sanchez Augusto</t>
  </si>
  <si>
    <t>0100011279</t>
  </si>
  <si>
    <t>IMPORFACTORY</t>
  </si>
  <si>
    <t>Quinga Guallichico Tatiana Marisol</t>
  </si>
  <si>
    <t>Tech Computer CIA LTDA</t>
  </si>
  <si>
    <t>Comercial Urgentoner Cía Ltda</t>
  </si>
  <si>
    <t>Cogecomsa S.A</t>
  </si>
  <si>
    <t>Harnisth Pinos Antonio</t>
  </si>
  <si>
    <t>Lema Chauca Jorge</t>
  </si>
  <si>
    <t>Paucar Almeida Mónica</t>
  </si>
  <si>
    <t>Cogecomsa</t>
  </si>
  <si>
    <t>Tintin Gómez Daniel Emiliano</t>
  </si>
  <si>
    <t xml:space="preserve">Mantenimiento de Inmuebles </t>
  </si>
  <si>
    <t>0100014487</t>
  </si>
  <si>
    <t xml:space="preserve">Villaroel Cabascango Marlon </t>
  </si>
  <si>
    <t>Villaroel Cabascango Marlon</t>
  </si>
  <si>
    <t>ASOMIP CIA LTDA.</t>
  </si>
  <si>
    <t>0100016330</t>
  </si>
  <si>
    <t xml:space="preserve">Contratación Obras </t>
  </si>
  <si>
    <t>0100016335</t>
  </si>
  <si>
    <t>0100016332</t>
  </si>
  <si>
    <t>0100016342</t>
  </si>
  <si>
    <t>0100016343</t>
  </si>
  <si>
    <t>0100016437</t>
  </si>
  <si>
    <t>01000017080</t>
  </si>
  <si>
    <t>Servicio contratación mecánica</t>
  </si>
  <si>
    <t>0100059841</t>
  </si>
  <si>
    <t>0100017150</t>
  </si>
  <si>
    <t>Contratación Servicio de mecánica</t>
  </si>
  <si>
    <t>0100017144</t>
  </si>
  <si>
    <t>0100017627</t>
  </si>
  <si>
    <t>0100017624</t>
  </si>
  <si>
    <t>0100017630</t>
  </si>
  <si>
    <t>Sánchez Pérez Hector</t>
  </si>
  <si>
    <t xml:space="preserve">Contratación obras </t>
  </si>
  <si>
    <t>0100018061</t>
  </si>
  <si>
    <t>0100018060</t>
  </si>
  <si>
    <t>Romero Vasconez Celio</t>
  </si>
  <si>
    <t>0100019035</t>
  </si>
  <si>
    <t>Urgentoner Cía Ltda</t>
  </si>
  <si>
    <t>Registro de la Propiedad</t>
  </si>
  <si>
    <t>0100019248</t>
  </si>
  <si>
    <t>Contratación contrato complementario No.1</t>
  </si>
  <si>
    <t>Contratación contrato complementario No.2</t>
  </si>
  <si>
    <t>0100019796</t>
  </si>
  <si>
    <t>Contratacion vigilancia año 2021-2022</t>
  </si>
  <si>
    <t>0100019802</t>
  </si>
  <si>
    <t xml:space="preserve">Compra de símbolos Patrios </t>
  </si>
  <si>
    <t>0100019807</t>
  </si>
  <si>
    <t>Ruíz Cajas Geovanna Paola</t>
  </si>
  <si>
    <t>Aguilar Morocho Erick Alejandro</t>
  </si>
  <si>
    <t>Expensas de la Manzana meses  de julio- dicembre</t>
  </si>
  <si>
    <t>0100020343</t>
  </si>
  <si>
    <t xml:space="preserve">Recargas Extintores </t>
  </si>
  <si>
    <t>0100020774</t>
  </si>
  <si>
    <t xml:space="preserve">Mantenimiento de las figuras del pesebre </t>
  </si>
  <si>
    <t>31/11/2021</t>
  </si>
  <si>
    <t>0100020935</t>
  </si>
  <si>
    <t xml:space="preserve">Arrendamiento de Licencias informáticas </t>
  </si>
  <si>
    <t>0100020750</t>
  </si>
  <si>
    <t xml:space="preserve">Mantenimiento carpas móviles </t>
  </si>
  <si>
    <t>0100020373</t>
  </si>
  <si>
    <t>Impresión Periódico el Chulla</t>
  </si>
  <si>
    <t>0100021192</t>
  </si>
  <si>
    <t>Briones Cedeño Kaby</t>
  </si>
  <si>
    <t>Endara González Washington</t>
  </si>
  <si>
    <t>Menor Cuantía Mco 010</t>
  </si>
  <si>
    <t>Menor Cuantía  MCO 11</t>
  </si>
  <si>
    <t>Asoprotexsumak</t>
  </si>
  <si>
    <t>Adquisición de 2 banderas</t>
  </si>
  <si>
    <t>Oleas Santillan Stalin Fernando</t>
  </si>
  <si>
    <t>Cáceres Sánchez German</t>
  </si>
  <si>
    <t>Patín Bayas Edison Raúl</t>
  </si>
  <si>
    <t>Menor Cuantía 0012</t>
  </si>
  <si>
    <t xml:space="preserve">Master Fire Prevención de Incendios </t>
  </si>
  <si>
    <t xml:space="preserve">Expensas de Enero a Diciembre y años anteriores </t>
  </si>
  <si>
    <t>Lema Lema Alicia</t>
  </si>
  <si>
    <t>Risueño Zambrano Pedro Vinicio</t>
  </si>
  <si>
    <t>AL  31 DE DICIEMBRE DE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</si>
</sst>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 #,##0.00_ ;_ * \-#,##0.00_ ;_ * &quot;-&quot;??_ ;_ @_ "/>
    <numFmt numFmtId="164" formatCode="#,##0.00_ ;\-#,##0.00\ "/>
    <numFmt numFmtId="165" formatCode="_(* #,##0.00_);_(* \(#,##0.00\);_(* &quot;-&quot;??_);_(@_)"/>
    <numFmt numFmtId="166" formatCode="&quot;$&quot;\ #,##0.00_);[Red]\(&quot;$&quot;\ #,##0.00\)"/>
    <numFmt numFmtId="167" formatCode="0.000"/>
  </numFmts>
  <fonts count="36" x14ac:knownFonts="1">
    <font>
      <sz val="11"/>
      <color theme="1"/>
      <name val="Calibri"/>
      <family val="2"/>
      <scheme val="minor"/>
    </font>
    <font>
      <sz val="9"/>
      <color theme="1"/>
      <name val="Calibri"/>
      <family val="2"/>
      <scheme val="minor"/>
    </font>
    <font>
      <b/>
      <sz val="8"/>
      <color rgb="FFFFFFFF"/>
      <name val="Arial"/>
      <family val="2"/>
    </font>
    <font>
      <sz val="8"/>
      <color rgb="FFFFFFFF"/>
      <name val="Arial"/>
      <family val="2"/>
    </font>
    <font>
      <sz val="8"/>
      <color theme="1"/>
      <name val="Calibri"/>
      <family val="2"/>
      <scheme val="minor"/>
    </font>
    <font>
      <sz val="8"/>
      <color rgb="FF000000"/>
      <name val="Arial"/>
      <family val="2"/>
    </font>
    <font>
      <sz val="8"/>
      <color theme="1"/>
      <name val="Arial"/>
      <family val="2"/>
    </font>
    <font>
      <sz val="8"/>
      <color rgb="FFFF0000"/>
      <name val="Arial"/>
      <family val="2"/>
    </font>
    <font>
      <b/>
      <sz val="9"/>
      <name val="Arial"/>
      <family val="2"/>
    </font>
    <font>
      <b/>
      <sz val="9"/>
      <color theme="1"/>
      <name val="Calibri"/>
      <family val="2"/>
      <scheme val="minor"/>
    </font>
    <font>
      <sz val="11"/>
      <color theme="1"/>
      <name val="Calibri"/>
      <family val="2"/>
      <scheme val="minor"/>
    </font>
    <font>
      <b/>
      <sz val="8"/>
      <name val="Arial"/>
      <family val="2"/>
    </font>
    <font>
      <b/>
      <sz val="8"/>
      <color theme="1"/>
      <name val="Calibri"/>
      <family val="2"/>
      <scheme val="minor"/>
    </font>
    <font>
      <b/>
      <sz val="8"/>
      <color theme="1"/>
      <name val="Arial"/>
      <family val="2"/>
    </font>
    <font>
      <b/>
      <sz val="8"/>
      <color rgb="FFFF0000"/>
      <name val="Arial"/>
      <family val="2"/>
    </font>
    <font>
      <sz val="8"/>
      <color rgb="FFFF0000"/>
      <name val="Calibri"/>
      <family val="2"/>
      <scheme val="minor"/>
    </font>
    <font>
      <b/>
      <sz val="10"/>
      <name val="Arial"/>
      <family val="2"/>
    </font>
    <font>
      <b/>
      <sz val="10"/>
      <color theme="1"/>
      <name val="Calibri"/>
      <family val="2"/>
      <scheme val="minor"/>
    </font>
    <font>
      <sz val="10"/>
      <color theme="1"/>
      <name val="Calibri"/>
      <family val="2"/>
      <scheme val="minor"/>
    </font>
    <font>
      <u/>
      <sz val="11"/>
      <color theme="10"/>
      <name val="Calibri"/>
      <family val="2"/>
    </font>
    <font>
      <b/>
      <sz val="8"/>
      <color rgb="FF0000FF"/>
      <name val="Arial"/>
      <family val="2"/>
    </font>
    <font>
      <b/>
      <u/>
      <sz val="8"/>
      <color theme="10"/>
      <name val="Arial"/>
      <family val="2"/>
    </font>
    <font>
      <u/>
      <sz val="8"/>
      <color theme="1"/>
      <name val="Arial"/>
      <family val="2"/>
    </font>
    <font>
      <u/>
      <sz val="8"/>
      <color theme="10"/>
      <name val="Arial"/>
      <family val="2"/>
    </font>
    <font>
      <sz val="8"/>
      <name val="Arial"/>
      <family val="2"/>
    </font>
    <font>
      <b/>
      <sz val="8"/>
      <color rgb="FFFF0000"/>
      <name val="Calibri"/>
      <family val="2"/>
      <scheme val="minor"/>
    </font>
    <font>
      <b/>
      <sz val="11"/>
      <color rgb="FFFF0000"/>
      <name val="Calibri"/>
      <family val="2"/>
      <scheme val="minor"/>
    </font>
    <font>
      <b/>
      <sz val="9"/>
      <color rgb="FFFF0000"/>
      <name val="Calibri"/>
      <family val="2"/>
      <scheme val="minor"/>
    </font>
    <font>
      <sz val="10"/>
      <color rgb="FFFF0000"/>
      <name val="Calibri"/>
      <family val="2"/>
      <scheme val="minor"/>
    </font>
    <font>
      <b/>
      <sz val="10"/>
      <color rgb="FFFF0000"/>
      <name val="Calibri"/>
      <family val="2"/>
      <scheme val="minor"/>
    </font>
    <font>
      <b/>
      <sz val="9"/>
      <color rgb="FFFF0000"/>
      <name val="Arial"/>
      <family val="2"/>
    </font>
    <font>
      <b/>
      <sz val="10"/>
      <color rgb="FFFF0000"/>
      <name val="Arial"/>
      <family val="2"/>
    </font>
    <font>
      <b/>
      <sz val="9"/>
      <color theme="0"/>
      <name val="Arial"/>
      <family val="2"/>
    </font>
    <font>
      <b/>
      <sz val="11"/>
      <color rgb="FFFF0000"/>
      <name val="Arial"/>
      <family val="2"/>
    </font>
    <font>
      <b/>
      <sz val="8"/>
      <color rgb="FF0033CC"/>
      <name val="Arial"/>
      <family val="2"/>
    </font>
    <font>
      <b/>
      <sz val="10"/>
      <color theme="1"/>
      <name val="Arial"/>
      <family val="2"/>
    </font>
  </fonts>
  <fills count="16">
    <fill>
      <patternFill patternType="none"/>
    </fill>
    <fill>
      <patternFill patternType="gray125"/>
    </fill>
    <fill>
      <patternFill patternType="solid">
        <fgColor rgb="FFFFFFFF"/>
        <bgColor indexed="64"/>
      </patternFill>
    </fill>
    <fill>
      <patternFill patternType="solid">
        <fgColor rgb="FF00569D"/>
        <bgColor indexed="64"/>
      </patternFill>
    </fill>
    <fill>
      <patternFill patternType="solid">
        <fgColor rgb="FFDEDEDE"/>
        <bgColor indexed="64"/>
      </patternFill>
    </fill>
    <fill>
      <patternFill patternType="solid">
        <fgColor rgb="FFD1E1F3"/>
        <bgColor indexed="64"/>
      </patternFill>
    </fill>
    <fill>
      <patternFill patternType="solid">
        <fgColor rgb="FFE6E6E6"/>
        <bgColor indexed="64"/>
      </patternFill>
    </fill>
    <fill>
      <patternFill patternType="solid">
        <fgColor rgb="FFDEDEEF"/>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0" tint="-0.34998626667073579"/>
        <bgColor indexed="64"/>
      </patternFill>
    </fill>
    <fill>
      <patternFill patternType="solid">
        <fgColor theme="0"/>
        <bgColor indexed="64"/>
      </patternFill>
    </fill>
    <fill>
      <patternFill patternType="solid">
        <fgColor theme="4" tint="-0.499984740745262"/>
        <bgColor indexed="64"/>
      </patternFill>
    </fill>
    <fill>
      <patternFill patternType="solid">
        <fgColor theme="0" tint="-0.249977111117893"/>
        <bgColor indexed="64"/>
      </patternFill>
    </fill>
    <fill>
      <patternFill patternType="solid">
        <fgColor theme="6"/>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s>
  <cellStyleXfs count="5">
    <xf numFmtId="0" fontId="0" fillId="0" borderId="0"/>
    <xf numFmtId="43" fontId="10" fillId="0" borderId="0" applyFont="0" applyFill="0" applyBorder="0" applyAlignment="0" applyProtection="0"/>
    <xf numFmtId="9" fontId="10" fillId="0" borderId="0" applyFont="0" applyFill="0" applyBorder="0" applyAlignment="0" applyProtection="0"/>
    <xf numFmtId="165" fontId="10" fillId="0" borderId="0" applyFont="0" applyFill="0" applyBorder="0" applyAlignment="0" applyProtection="0"/>
    <xf numFmtId="0" fontId="19" fillId="0" borderId="0" applyNumberFormat="0" applyFill="0" applyBorder="0" applyAlignment="0" applyProtection="0">
      <alignment vertical="top"/>
      <protection locked="0"/>
    </xf>
  </cellStyleXfs>
  <cellXfs count="262">
    <xf numFmtId="0" fontId="0" fillId="0" borderId="0" xfId="0"/>
    <xf numFmtId="0" fontId="1" fillId="0" borderId="0" xfId="0" applyFont="1"/>
    <xf numFmtId="0" fontId="2" fillId="3" borderId="1" xfId="0" applyFont="1" applyFill="1" applyBorder="1" applyAlignment="1">
      <alignment vertical="center" wrapText="1"/>
    </xf>
    <xf numFmtId="0" fontId="3" fillId="3" borderId="1" xfId="0" applyFont="1" applyFill="1" applyBorder="1" applyAlignment="1">
      <alignment vertical="center" wrapText="1"/>
    </xf>
    <xf numFmtId="0" fontId="3" fillId="3" borderId="2" xfId="0" applyFont="1" applyFill="1" applyBorder="1" applyAlignment="1">
      <alignment vertical="center" wrapText="1"/>
    </xf>
    <xf numFmtId="0" fontId="4" fillId="0" borderId="0" xfId="0" applyFont="1"/>
    <xf numFmtId="0" fontId="6" fillId="4"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6"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5" fillId="5" borderId="1" xfId="0" applyFont="1" applyFill="1" applyBorder="1" applyAlignment="1">
      <alignment horizontal="left" vertical="center" wrapText="1"/>
    </xf>
    <xf numFmtId="14" fontId="5" fillId="2" borderId="1" xfId="0" applyNumberFormat="1" applyFont="1" applyFill="1" applyBorder="1" applyAlignment="1">
      <alignment horizontal="left" vertical="center" wrapText="1"/>
    </xf>
    <xf numFmtId="0" fontId="8" fillId="0" borderId="0" xfId="0" applyFont="1" applyAlignment="1">
      <alignment vertical="top"/>
    </xf>
    <xf numFmtId="0" fontId="9" fillId="0" borderId="0" xfId="0" applyFont="1"/>
    <xf numFmtId="0" fontId="11" fillId="0" borderId="0" xfId="0" applyFont="1" applyAlignment="1">
      <alignment vertical="top"/>
    </xf>
    <xf numFmtId="0" fontId="12" fillId="0" borderId="0" xfId="0" applyFont="1"/>
    <xf numFmtId="43" fontId="13" fillId="8" borderId="1" xfId="1" applyFont="1" applyFill="1" applyBorder="1" applyAlignment="1">
      <alignment vertical="center" wrapText="1"/>
    </xf>
    <xf numFmtId="43" fontId="13" fillId="0" borderId="1" xfId="1" applyFont="1" applyFill="1" applyBorder="1" applyAlignment="1">
      <alignment vertical="center" wrapText="1"/>
    </xf>
    <xf numFmtId="0" fontId="4" fillId="0" borderId="1" xfId="0" applyFont="1" applyBorder="1"/>
    <xf numFmtId="43" fontId="14" fillId="9" borderId="5" xfId="1" applyFont="1" applyFill="1" applyBorder="1" applyAlignment="1">
      <alignment horizontal="center" vertical="center" wrapText="1"/>
    </xf>
    <xf numFmtId="0" fontId="15" fillId="9" borderId="1" xfId="0" applyFont="1" applyFill="1" applyBorder="1"/>
    <xf numFmtId="43" fontId="12" fillId="10" borderId="1" xfId="0" applyNumberFormat="1" applyFont="1" applyFill="1" applyBorder="1" applyAlignment="1">
      <alignment vertical="center" wrapText="1"/>
    </xf>
    <xf numFmtId="0" fontId="12" fillId="10" borderId="1" xfId="0" applyFont="1" applyFill="1" applyBorder="1"/>
    <xf numFmtId="43" fontId="4" fillId="0" borderId="0" xfId="1" applyFont="1"/>
    <xf numFmtId="43" fontId="3" fillId="3" borderId="3" xfId="1" applyFont="1" applyFill="1" applyBorder="1" applyAlignment="1">
      <alignment vertical="center" wrapText="1"/>
    </xf>
    <xf numFmtId="43" fontId="6" fillId="7" borderId="1" xfId="1" applyFont="1" applyFill="1" applyBorder="1" applyAlignment="1">
      <alignment horizontal="right" vertical="center" wrapText="1"/>
    </xf>
    <xf numFmtId="43" fontId="12" fillId="10" borderId="1" xfId="1" applyFont="1" applyFill="1" applyBorder="1" applyAlignment="1">
      <alignment vertical="center" wrapText="1"/>
    </xf>
    <xf numFmtId="43" fontId="9" fillId="0" borderId="0" xfId="1" applyFont="1"/>
    <xf numFmtId="43" fontId="1" fillId="0" borderId="0" xfId="1" applyFont="1"/>
    <xf numFmtId="43" fontId="15" fillId="9" borderId="1" xfId="0" applyNumberFormat="1" applyFont="1" applyFill="1" applyBorder="1"/>
    <xf numFmtId="43" fontId="6" fillId="0" borderId="1" xfId="1" applyFont="1" applyFill="1" applyBorder="1" applyAlignment="1">
      <alignment vertical="center" wrapText="1"/>
    </xf>
    <xf numFmtId="43" fontId="13" fillId="8" borderId="1" xfId="1" applyFont="1" applyFill="1" applyBorder="1" applyAlignment="1">
      <alignment horizontal="center" vertical="center" wrapText="1"/>
    </xf>
    <xf numFmtId="43" fontId="4" fillId="2" borderId="1" xfId="1" applyFont="1" applyFill="1" applyBorder="1"/>
    <xf numFmtId="43" fontId="4" fillId="0" borderId="1" xfId="0" applyNumberFormat="1" applyFont="1" applyBorder="1"/>
    <xf numFmtId="0" fontId="16" fillId="0" borderId="0" xfId="0" applyFont="1" applyAlignment="1">
      <alignment vertical="top"/>
    </xf>
    <xf numFmtId="0" fontId="17" fillId="0" borderId="0" xfId="0" applyFont="1"/>
    <xf numFmtId="0" fontId="18" fillId="0" borderId="0" xfId="0" applyFont="1"/>
    <xf numFmtId="0" fontId="6" fillId="4" borderId="1" xfId="0" applyFont="1" applyFill="1" applyBorder="1" applyAlignment="1">
      <alignment vertical="center" wrapText="1"/>
    </xf>
    <xf numFmtId="0" fontId="4" fillId="4" borderId="1" xfId="0" applyFont="1" applyFill="1" applyBorder="1"/>
    <xf numFmtId="43" fontId="17" fillId="0" borderId="0" xfId="1" applyFont="1"/>
    <xf numFmtId="43" fontId="18" fillId="0" borderId="0" xfId="1" applyFont="1"/>
    <xf numFmtId="43" fontId="3" fillId="3" borderId="1" xfId="1" applyFont="1" applyFill="1" applyBorder="1" applyAlignment="1">
      <alignment vertical="center" wrapText="1"/>
    </xf>
    <xf numFmtId="43" fontId="6" fillId="2" borderId="1" xfId="1" applyFont="1" applyFill="1" applyBorder="1" applyAlignment="1">
      <alignment horizontal="center" vertical="center" wrapText="1"/>
    </xf>
    <xf numFmtId="43" fontId="4" fillId="4" borderId="1" xfId="1" applyFont="1" applyFill="1" applyBorder="1"/>
    <xf numFmtId="43" fontId="4" fillId="0" borderId="1" xfId="1" applyFont="1" applyBorder="1"/>
    <xf numFmtId="164" fontId="6" fillId="2" borderId="1" xfId="1" applyNumberFormat="1" applyFont="1" applyFill="1" applyBorder="1" applyAlignment="1">
      <alignment horizontal="center" vertical="center" wrapText="1"/>
    </xf>
    <xf numFmtId="43" fontId="4" fillId="0" borderId="1" xfId="1" applyFont="1" applyBorder="1" applyAlignment="1">
      <alignment vertical="center"/>
    </xf>
    <xf numFmtId="43" fontId="4" fillId="0" borderId="1" xfId="1" applyFont="1" applyBorder="1" applyAlignment="1">
      <alignment vertical="center" wrapText="1"/>
    </xf>
    <xf numFmtId="43" fontId="4" fillId="4" borderId="2" xfId="1" applyFont="1" applyFill="1" applyBorder="1"/>
    <xf numFmtId="43" fontId="6" fillId="2" borderId="2" xfId="1" applyFont="1" applyFill="1" applyBorder="1" applyAlignment="1">
      <alignment horizontal="center" vertical="center" wrapText="1"/>
    </xf>
    <xf numFmtId="43" fontId="2" fillId="3" borderId="1" xfId="1" applyFont="1" applyFill="1" applyBorder="1" applyAlignment="1">
      <alignment vertical="center" wrapText="1"/>
    </xf>
    <xf numFmtId="0" fontId="13" fillId="0" borderId="0" xfId="0" applyFont="1"/>
    <xf numFmtId="0" fontId="6" fillId="11" borderId="0" xfId="0" applyFont="1" applyFill="1"/>
    <xf numFmtId="10" fontId="6" fillId="11" borderId="0" xfId="2" applyNumberFormat="1" applyFont="1" applyFill="1"/>
    <xf numFmtId="4" fontId="6" fillId="0" borderId="0" xfId="0" applyNumberFormat="1" applyFont="1"/>
    <xf numFmtId="165" fontId="6" fillId="11" borderId="0" xfId="3" applyFont="1" applyFill="1"/>
    <xf numFmtId="0" fontId="6" fillId="0" borderId="1" xfId="0" applyFont="1" applyBorder="1" applyAlignment="1">
      <alignment wrapText="1"/>
    </xf>
    <xf numFmtId="0" fontId="6" fillId="11" borderId="1" xfId="0" applyFont="1" applyFill="1" applyBorder="1" applyAlignment="1">
      <alignment wrapText="1"/>
    </xf>
    <xf numFmtId="166" fontId="6" fillId="11" borderId="1" xfId="0" applyNumberFormat="1" applyFont="1" applyFill="1" applyBorder="1" applyAlignment="1">
      <alignment wrapText="1"/>
    </xf>
    <xf numFmtId="10" fontId="6" fillId="11" borderId="1" xfId="2" applyNumberFormat="1" applyFont="1" applyFill="1" applyBorder="1" applyAlignment="1">
      <alignment wrapText="1"/>
    </xf>
    <xf numFmtId="4" fontId="6" fillId="0" borderId="1" xfId="0" applyNumberFormat="1" applyFont="1" applyBorder="1"/>
    <xf numFmtId="0" fontId="20" fillId="0" borderId="1" xfId="0" applyFont="1" applyBorder="1" applyAlignment="1">
      <alignment wrapText="1"/>
    </xf>
    <xf numFmtId="166" fontId="13" fillId="0" borderId="1" xfId="0" applyNumberFormat="1" applyFont="1" applyFill="1" applyBorder="1"/>
    <xf numFmtId="166" fontId="11" fillId="0" borderId="1" xfId="0" applyNumberFormat="1" applyFont="1" applyFill="1" applyBorder="1"/>
    <xf numFmtId="166" fontId="13" fillId="11" borderId="1" xfId="0" applyNumberFormat="1" applyFont="1" applyFill="1" applyBorder="1"/>
    <xf numFmtId="10" fontId="13" fillId="11" borderId="1" xfId="2" applyNumberFormat="1" applyFont="1" applyFill="1" applyBorder="1"/>
    <xf numFmtId="166" fontId="6" fillId="0" borderId="1" xfId="0" applyNumberFormat="1" applyFont="1" applyFill="1" applyBorder="1"/>
    <xf numFmtId="166" fontId="13" fillId="0" borderId="1" xfId="0" applyNumberFormat="1" applyFont="1" applyBorder="1"/>
    <xf numFmtId="10" fontId="6" fillId="0" borderId="1" xfId="2" applyNumberFormat="1" applyFont="1" applyFill="1" applyBorder="1"/>
    <xf numFmtId="10" fontId="6" fillId="11" borderId="1" xfId="2" applyNumberFormat="1" applyFont="1" applyFill="1" applyBorder="1"/>
    <xf numFmtId="4" fontId="21" fillId="0" borderId="1" xfId="4" applyNumberFormat="1" applyFont="1" applyBorder="1" applyAlignment="1" applyProtection="1"/>
    <xf numFmtId="0" fontId="13" fillId="0" borderId="1" xfId="0" applyFont="1" applyBorder="1" applyAlignment="1">
      <alignment wrapText="1"/>
    </xf>
    <xf numFmtId="4" fontId="13" fillId="0" borderId="1" xfId="0" applyNumberFormat="1" applyFont="1" applyBorder="1"/>
    <xf numFmtId="10" fontId="13" fillId="0" borderId="1" xfId="2" applyNumberFormat="1" applyFont="1" applyBorder="1"/>
    <xf numFmtId="165" fontId="6" fillId="0" borderId="0" xfId="3" applyFont="1"/>
    <xf numFmtId="0" fontId="6" fillId="11" borderId="1" xfId="0" applyFont="1" applyFill="1" applyBorder="1" applyAlignment="1"/>
    <xf numFmtId="10" fontId="6" fillId="11" borderId="1" xfId="2" applyNumberFormat="1" applyFont="1" applyFill="1" applyBorder="1" applyAlignment="1"/>
    <xf numFmtId="0" fontId="22" fillId="0" borderId="1" xfId="4" applyFont="1" applyBorder="1" applyAlignment="1" applyProtection="1">
      <alignment wrapText="1"/>
    </xf>
    <xf numFmtId="4" fontId="6" fillId="0" borderId="1" xfId="0" applyNumberFormat="1" applyFont="1" applyBorder="1" applyAlignment="1">
      <alignment wrapText="1"/>
    </xf>
    <xf numFmtId="10" fontId="6" fillId="0" borderId="1" xfId="2" applyNumberFormat="1" applyFont="1" applyBorder="1" applyAlignment="1">
      <alignment wrapText="1"/>
    </xf>
    <xf numFmtId="4" fontId="23" fillId="0" borderId="1" xfId="4" applyNumberFormat="1" applyFont="1" applyBorder="1" applyAlignment="1" applyProtection="1"/>
    <xf numFmtId="10" fontId="13" fillId="0" borderId="1" xfId="2" applyNumberFormat="1" applyFont="1" applyFill="1" applyBorder="1"/>
    <xf numFmtId="4" fontId="24" fillId="0" borderId="1" xfId="0" applyNumberFormat="1" applyFont="1" applyBorder="1" applyAlignment="1">
      <alignment wrapText="1"/>
    </xf>
    <xf numFmtId="10" fontId="24" fillId="0" borderId="1" xfId="2" applyNumberFormat="1" applyFont="1" applyBorder="1" applyAlignment="1">
      <alignment wrapText="1"/>
    </xf>
    <xf numFmtId="165" fontId="6" fillId="0" borderId="1" xfId="0" applyNumberFormat="1" applyFont="1" applyFill="1" applyBorder="1"/>
    <xf numFmtId="165" fontId="13" fillId="0" borderId="1" xfId="0" applyNumberFormat="1" applyFont="1" applyFill="1" applyBorder="1"/>
    <xf numFmtId="43" fontId="25" fillId="9" borderId="1" xfId="0" applyNumberFormat="1" applyFont="1" applyFill="1" applyBorder="1"/>
    <xf numFmtId="0" fontId="19" fillId="0" borderId="1" xfId="4" applyBorder="1" applyAlignment="1" applyProtection="1">
      <alignment wrapText="1"/>
    </xf>
    <xf numFmtId="10" fontId="11" fillId="0" borderId="1" xfId="2" applyNumberFormat="1" applyFont="1" applyBorder="1" applyAlignment="1">
      <alignment wrapText="1"/>
    </xf>
    <xf numFmtId="10" fontId="13" fillId="0" borderId="1" xfId="2" applyNumberFormat="1" applyFont="1" applyBorder="1" applyAlignment="1">
      <alignment wrapText="1"/>
    </xf>
    <xf numFmtId="43" fontId="27" fillId="0" borderId="0" xfId="1" applyFont="1"/>
    <xf numFmtId="0" fontId="28" fillId="0" borderId="0" xfId="0" applyFont="1"/>
    <xf numFmtId="0" fontId="29" fillId="0" borderId="0" xfId="0" applyFont="1"/>
    <xf numFmtId="43" fontId="6" fillId="0" borderId="1" xfId="1" applyFont="1" applyFill="1" applyBorder="1"/>
    <xf numFmtId="0" fontId="32" fillId="12" borderId="1" xfId="0" applyFont="1" applyFill="1" applyBorder="1" applyAlignment="1">
      <alignment horizontal="center" vertical="center" wrapText="1"/>
    </xf>
    <xf numFmtId="0" fontId="32" fillId="12" borderId="1" xfId="0" applyFont="1" applyFill="1" applyBorder="1" applyAlignment="1">
      <alignment horizontal="center" vertical="center"/>
    </xf>
    <xf numFmtId="10" fontId="32" fillId="12" borderId="1" xfId="2" applyNumberFormat="1" applyFont="1" applyFill="1" applyBorder="1" applyAlignment="1">
      <alignment horizontal="center" vertical="center"/>
    </xf>
    <xf numFmtId="4" fontId="32" fillId="12" borderId="1" xfId="0" applyNumberFormat="1" applyFont="1" applyFill="1" applyBorder="1" applyAlignment="1">
      <alignment horizontal="center" vertical="center"/>
    </xf>
    <xf numFmtId="14" fontId="6" fillId="0" borderId="1" xfId="1" applyNumberFormat="1" applyFont="1" applyFill="1" applyBorder="1" applyAlignment="1">
      <alignment vertical="center" wrapText="1"/>
    </xf>
    <xf numFmtId="0" fontId="17" fillId="0" borderId="0" xfId="0" applyFont="1" applyAlignment="1">
      <alignment horizontal="center"/>
    </xf>
    <xf numFmtId="0" fontId="12" fillId="0" borderId="0" xfId="0" applyFont="1" applyAlignment="1">
      <alignment horizontal="center"/>
    </xf>
    <xf numFmtId="0" fontId="6" fillId="0" borderId="1" xfId="1" applyNumberFormat="1" applyFont="1" applyFill="1" applyBorder="1" applyAlignment="1">
      <alignment horizontal="center" vertical="center" wrapText="1"/>
    </xf>
    <xf numFmtId="2" fontId="18" fillId="0" borderId="0" xfId="0" applyNumberFormat="1" applyFont="1" applyAlignment="1">
      <alignment horizontal="center"/>
    </xf>
    <xf numFmtId="2" fontId="4" fillId="0" borderId="0" xfId="0" applyNumberFormat="1" applyFont="1" applyAlignment="1">
      <alignment horizontal="center"/>
    </xf>
    <xf numFmtId="2" fontId="13" fillId="8" borderId="1" xfId="1" applyNumberFormat="1" applyFont="1" applyFill="1" applyBorder="1" applyAlignment="1">
      <alignment horizontal="center" vertical="center" wrapText="1"/>
    </xf>
    <xf numFmtId="2" fontId="15" fillId="9" borderId="1" xfId="0" applyNumberFormat="1" applyFont="1" applyFill="1" applyBorder="1" applyAlignment="1">
      <alignment horizontal="center"/>
    </xf>
    <xf numFmtId="2" fontId="12" fillId="10" borderId="1" xfId="0" applyNumberFormat="1" applyFont="1" applyFill="1" applyBorder="1" applyAlignment="1">
      <alignment horizontal="center"/>
    </xf>
    <xf numFmtId="49" fontId="24" fillId="0" borderId="1" xfId="0" applyNumberFormat="1" applyFont="1" applyBorder="1" applyAlignment="1">
      <alignment horizontal="center" vertical="top"/>
    </xf>
    <xf numFmtId="43" fontId="15" fillId="9" borderId="1" xfId="1" applyFont="1" applyFill="1" applyBorder="1"/>
    <xf numFmtId="0" fontId="4" fillId="0" borderId="1" xfId="0" applyFont="1" applyBorder="1" applyAlignment="1">
      <alignment wrapText="1"/>
    </xf>
    <xf numFmtId="0" fontId="30" fillId="13" borderId="1" xfId="0" applyFont="1" applyFill="1" applyBorder="1" applyAlignment="1">
      <alignment wrapText="1"/>
    </xf>
    <xf numFmtId="166" fontId="30" fillId="13" borderId="1" xfId="0" applyNumberFormat="1" applyFont="1" applyFill="1" applyBorder="1"/>
    <xf numFmtId="10" fontId="30" fillId="13" borderId="1" xfId="2" applyNumberFormat="1" applyFont="1" applyFill="1" applyBorder="1"/>
    <xf numFmtId="0" fontId="30" fillId="13" borderId="0" xfId="0" applyFont="1" applyFill="1"/>
    <xf numFmtId="166" fontId="30" fillId="13" borderId="0" xfId="0" applyNumberFormat="1" applyFont="1" applyFill="1"/>
    <xf numFmtId="10" fontId="31" fillId="13" borderId="0" xfId="2" applyNumberFormat="1" applyFont="1" applyFill="1"/>
    <xf numFmtId="10" fontId="33" fillId="13" borderId="0" xfId="2" applyNumberFormat="1" applyFont="1" applyFill="1"/>
    <xf numFmtId="14" fontId="5" fillId="2" borderId="1" xfId="0" applyNumberFormat="1" applyFont="1" applyFill="1" applyBorder="1" applyAlignment="1">
      <alignment horizontal="left" vertical="center" wrapText="1"/>
    </xf>
    <xf numFmtId="43" fontId="4" fillId="0" borderId="0" xfId="0" applyNumberFormat="1" applyFont="1"/>
    <xf numFmtId="43" fontId="34" fillId="0" borderId="1" xfId="1" applyFont="1" applyFill="1" applyBorder="1" applyAlignment="1">
      <alignment vertical="center" wrapText="1"/>
    </xf>
    <xf numFmtId="43" fontId="18" fillId="0" borderId="0" xfId="0" applyNumberFormat="1" applyFont="1"/>
    <xf numFmtId="14" fontId="4" fillId="0" borderId="1" xfId="0" applyNumberFormat="1" applyFont="1" applyBorder="1" applyAlignment="1">
      <alignment vertical="center" wrapText="1"/>
    </xf>
    <xf numFmtId="49" fontId="24" fillId="0" borderId="1" xfId="0" applyNumberFormat="1" applyFont="1" applyBorder="1" applyAlignment="1">
      <alignment horizontal="center" vertical="center" wrapText="1"/>
    </xf>
    <xf numFmtId="0" fontId="4" fillId="0" borderId="1" xfId="0" applyFont="1" applyBorder="1" applyAlignment="1">
      <alignment vertical="center" wrapText="1"/>
    </xf>
    <xf numFmtId="14" fontId="4" fillId="0" borderId="1" xfId="0" applyNumberFormat="1" applyFont="1" applyBorder="1"/>
    <xf numFmtId="49" fontId="24" fillId="0" borderId="1" xfId="0" applyNumberFormat="1" applyFont="1" applyBorder="1" applyAlignment="1">
      <alignment horizontal="center" wrapText="1"/>
    </xf>
    <xf numFmtId="43" fontId="24" fillId="0" borderId="0" xfId="1" applyFont="1" applyFill="1" applyBorder="1" applyAlignment="1">
      <alignment horizontal="right" vertical="top"/>
    </xf>
    <xf numFmtId="0" fontId="4" fillId="0" borderId="0" xfId="0" applyFont="1" applyFill="1" applyBorder="1"/>
    <xf numFmtId="43" fontId="4" fillId="0" borderId="1" xfId="1" applyFont="1" applyFill="1" applyBorder="1"/>
    <xf numFmtId="43" fontId="6" fillId="0" borderId="1" xfId="1" applyFont="1" applyFill="1" applyBorder="1" applyAlignment="1">
      <alignment horizontal="center" vertical="center" wrapText="1"/>
    </xf>
    <xf numFmtId="43" fontId="4" fillId="0" borderId="1" xfId="0" applyNumberFormat="1" applyFont="1" applyFill="1" applyBorder="1"/>
    <xf numFmtId="43" fontId="29" fillId="0" borderId="0" xfId="1" applyFont="1"/>
    <xf numFmtId="14" fontId="5" fillId="2" borderId="1" xfId="0" applyNumberFormat="1" applyFont="1" applyFill="1" applyBorder="1" applyAlignment="1">
      <alignment horizontal="left" vertical="center" wrapText="1"/>
    </xf>
    <xf numFmtId="43" fontId="25" fillId="0" borderId="1" xfId="1" applyFont="1" applyBorder="1"/>
    <xf numFmtId="43" fontId="14" fillId="2" borderId="1" xfId="1" applyFont="1" applyFill="1" applyBorder="1" applyAlignment="1">
      <alignment horizontal="center" vertical="center" wrapText="1"/>
    </xf>
    <xf numFmtId="43" fontId="25" fillId="0" borderId="1" xfId="1" applyFont="1" applyBorder="1" applyAlignment="1">
      <alignment vertical="center" wrapText="1"/>
    </xf>
    <xf numFmtId="43" fontId="25" fillId="0" borderId="1" xfId="0" applyNumberFormat="1" applyFont="1" applyBorder="1"/>
    <xf numFmtId="0" fontId="4" fillId="0" borderId="7" xfId="0" applyFont="1" applyBorder="1" applyAlignment="1">
      <alignment wrapText="1"/>
    </xf>
    <xf numFmtId="14" fontId="6" fillId="0" borderId="4" xfId="1" applyNumberFormat="1" applyFont="1" applyFill="1" applyBorder="1" applyAlignment="1">
      <alignment vertical="center" wrapText="1"/>
    </xf>
    <xf numFmtId="49" fontId="24" fillId="0" borderId="1" xfId="0" applyNumberFormat="1" applyFont="1" applyBorder="1" applyAlignment="1">
      <alignment horizontal="center" vertical="center" wrapText="1"/>
    </xf>
    <xf numFmtId="43" fontId="24" fillId="0" borderId="0" xfId="1" applyFont="1" applyFill="1" applyAlignment="1">
      <alignment horizontal="right" vertical="top"/>
    </xf>
    <xf numFmtId="43" fontId="24" fillId="0" borderId="1" xfId="1" applyFont="1" applyFill="1" applyBorder="1" applyAlignment="1">
      <alignment vertical="center" wrapText="1"/>
    </xf>
    <xf numFmtId="0" fontId="4" fillId="0" borderId="0" xfId="0" applyFont="1" applyFill="1"/>
    <xf numFmtId="43" fontId="4" fillId="0" borderId="0" xfId="0" applyNumberFormat="1" applyFont="1" applyFill="1"/>
    <xf numFmtId="43" fontId="25" fillId="0" borderId="0" xfId="1" applyFont="1"/>
    <xf numFmtId="43" fontId="15" fillId="0" borderId="0" xfId="0" applyNumberFormat="1" applyFont="1"/>
    <xf numFmtId="43" fontId="25" fillId="0" borderId="0" xfId="0" applyNumberFormat="1" applyFont="1"/>
    <xf numFmtId="167" fontId="4" fillId="0" borderId="0" xfId="0" applyNumberFormat="1" applyFont="1"/>
    <xf numFmtId="43" fontId="4" fillId="0" borderId="0" xfId="1" applyFont="1" applyFill="1" applyBorder="1"/>
    <xf numFmtId="43" fontId="14" fillId="9" borderId="8" xfId="1" applyFont="1" applyFill="1" applyBorder="1" applyAlignment="1">
      <alignment horizontal="center" vertical="center" wrapText="1"/>
    </xf>
    <xf numFmtId="43" fontId="14" fillId="0" borderId="0" xfId="1" applyFont="1" applyFill="1" applyBorder="1" applyAlignment="1">
      <alignment horizontal="center" vertical="center" wrapText="1"/>
    </xf>
    <xf numFmtId="49" fontId="24" fillId="0" borderId="1" xfId="0" applyNumberFormat="1" applyFont="1" applyBorder="1" applyAlignment="1">
      <alignment horizontal="center" vertical="center" wrapText="1"/>
    </xf>
    <xf numFmtId="43" fontId="6" fillId="0" borderId="4" xfId="1" applyFont="1" applyFill="1" applyBorder="1" applyAlignment="1">
      <alignment vertical="center" wrapText="1"/>
    </xf>
    <xf numFmtId="43" fontId="6" fillId="0" borderId="4" xfId="1" applyFont="1" applyFill="1" applyBorder="1" applyAlignment="1">
      <alignment horizontal="center" vertical="center" wrapText="1"/>
    </xf>
    <xf numFmtId="0" fontId="6" fillId="7" borderId="5" xfId="0" applyFont="1" applyFill="1" applyBorder="1" applyAlignment="1">
      <alignment horizontal="center" vertical="center" wrapText="1"/>
    </xf>
    <xf numFmtId="0" fontId="6" fillId="7" borderId="4" xfId="0" applyFont="1" applyFill="1" applyBorder="1" applyAlignment="1">
      <alignment horizontal="center" vertical="center" wrapText="1"/>
    </xf>
    <xf numFmtId="43" fontId="6" fillId="7" borderId="4" xfId="1" applyFont="1" applyFill="1" applyBorder="1" applyAlignment="1">
      <alignment horizontal="center" vertical="center" wrapText="1"/>
    </xf>
    <xf numFmtId="43" fontId="4" fillId="0" borderId="4" xfId="1" applyFont="1" applyBorder="1" applyAlignment="1">
      <alignment horizontal="center" vertical="center" wrapText="1"/>
    </xf>
    <xf numFmtId="43" fontId="6" fillId="7" borderId="5" xfId="1" applyFont="1" applyFill="1" applyBorder="1" applyAlignment="1">
      <alignment horizontal="right" vertical="center" wrapText="1"/>
    </xf>
    <xf numFmtId="43" fontId="4" fillId="0" borderId="5" xfId="1" applyFont="1" applyBorder="1"/>
    <xf numFmtId="0" fontId="4" fillId="0" borderId="5" xfId="0" applyFont="1" applyBorder="1"/>
    <xf numFmtId="0" fontId="4" fillId="0" borderId="5" xfId="0" applyFont="1" applyBorder="1" applyAlignment="1">
      <alignment wrapText="1"/>
    </xf>
    <xf numFmtId="0" fontId="4" fillId="0" borderId="4" xfId="0" applyFont="1" applyBorder="1"/>
    <xf numFmtId="49" fontId="24" fillId="0" borderId="4" xfId="0" applyNumberFormat="1" applyFont="1" applyBorder="1" applyAlignment="1">
      <alignment horizontal="center" vertical="top"/>
    </xf>
    <xf numFmtId="49" fontId="24" fillId="0" borderId="1" xfId="0" applyNumberFormat="1" applyFont="1" applyBorder="1" applyAlignment="1">
      <alignment horizontal="center" vertical="center" wrapText="1"/>
    </xf>
    <xf numFmtId="43" fontId="6" fillId="0" borderId="5" xfId="1" applyFont="1" applyFill="1" applyBorder="1" applyAlignment="1">
      <alignment vertical="center" wrapText="1"/>
    </xf>
    <xf numFmtId="14" fontId="6" fillId="0" borderId="5" xfId="1" applyNumberFormat="1" applyFont="1" applyFill="1" applyBorder="1" applyAlignment="1">
      <alignment vertical="center" wrapText="1"/>
    </xf>
    <xf numFmtId="49" fontId="24" fillId="0" borderId="5" xfId="0" applyNumberFormat="1" applyFont="1" applyBorder="1" applyAlignment="1">
      <alignment vertical="center" wrapText="1"/>
    </xf>
    <xf numFmtId="43" fontId="26" fillId="0" borderId="0" xfId="1" applyFont="1"/>
    <xf numFmtId="43" fontId="6" fillId="0" borderId="7" xfId="1" applyFont="1" applyFill="1" applyBorder="1" applyAlignment="1">
      <alignment horizontal="center" vertical="center" wrapText="1"/>
    </xf>
    <xf numFmtId="14" fontId="6" fillId="0" borderId="7" xfId="1" applyNumberFormat="1" applyFont="1" applyFill="1" applyBorder="1" applyAlignment="1">
      <alignment horizontal="center" vertical="center" wrapText="1"/>
    </xf>
    <xf numFmtId="49" fontId="24" fillId="0" borderId="7" xfId="0" applyNumberFormat="1" applyFont="1" applyBorder="1" applyAlignment="1">
      <alignment horizontal="center" vertical="center" wrapText="1"/>
    </xf>
    <xf numFmtId="0" fontId="6" fillId="7" borderId="5" xfId="0" applyFont="1" applyFill="1" applyBorder="1" applyAlignment="1">
      <alignment horizontal="center" vertical="center" wrapText="1"/>
    </xf>
    <xf numFmtId="43" fontId="6" fillId="7" borderId="4" xfId="1" applyFont="1" applyFill="1" applyBorder="1" applyAlignment="1">
      <alignment horizontal="center" vertical="center" wrapText="1"/>
    </xf>
    <xf numFmtId="43" fontId="4" fillId="0" borderId="5" xfId="1" applyFont="1" applyBorder="1" applyAlignment="1">
      <alignment vertical="center" wrapText="1"/>
    </xf>
    <xf numFmtId="43" fontId="6" fillId="0" borderId="7" xfId="1" applyFont="1" applyFill="1" applyBorder="1" applyAlignment="1">
      <alignment horizontal="left" vertical="center" wrapText="1"/>
    </xf>
    <xf numFmtId="2" fontId="4" fillId="0" borderId="1" xfId="0" applyNumberFormat="1" applyFont="1" applyBorder="1"/>
    <xf numFmtId="0" fontId="4" fillId="0" borderId="1" xfId="0" applyFont="1" applyFill="1" applyBorder="1" applyAlignment="1">
      <alignment wrapText="1"/>
    </xf>
    <xf numFmtId="49" fontId="24" fillId="0" borderId="1" xfId="0" applyNumberFormat="1" applyFont="1" applyFill="1" applyBorder="1" applyAlignment="1">
      <alignment horizontal="center" vertical="top"/>
    </xf>
    <xf numFmtId="0" fontId="35" fillId="0" borderId="0" xfId="0" applyFont="1"/>
    <xf numFmtId="0" fontId="4" fillId="0" borderId="1" xfId="0" applyFont="1" applyFill="1" applyBorder="1"/>
    <xf numFmtId="43" fontId="6" fillId="0" borderId="1" xfId="1" applyFont="1" applyFill="1" applyBorder="1" applyAlignment="1">
      <alignment horizontal="center" vertical="center" wrapText="1"/>
    </xf>
    <xf numFmtId="0" fontId="5" fillId="5" borderId="1" xfId="0" applyFont="1" applyFill="1" applyBorder="1" applyAlignment="1">
      <alignment horizontal="left" vertical="center" wrapText="1"/>
    </xf>
    <xf numFmtId="43" fontId="12" fillId="0" borderId="1" xfId="1" applyFont="1" applyFill="1" applyBorder="1"/>
    <xf numFmtId="43" fontId="12" fillId="0" borderId="1" xfId="1" applyFont="1" applyBorder="1"/>
    <xf numFmtId="43" fontId="4" fillId="0" borderId="1" xfId="0" applyNumberFormat="1" applyFont="1" applyBorder="1" applyAlignment="1">
      <alignment vertical="center" wrapText="1"/>
    </xf>
    <xf numFmtId="43" fontId="6" fillId="15" borderId="1" xfId="1" applyFont="1" applyFill="1" applyBorder="1" applyAlignment="1">
      <alignment vertical="center" wrapText="1"/>
    </xf>
    <xf numFmtId="14" fontId="5" fillId="2" borderId="5" xfId="0" applyNumberFormat="1" applyFont="1" applyFill="1" applyBorder="1" applyAlignment="1">
      <alignment horizontal="center" vertical="center" wrapText="1"/>
    </xf>
    <xf numFmtId="14" fontId="5" fillId="2" borderId="7" xfId="0" applyNumberFormat="1" applyFont="1" applyFill="1" applyBorder="1" applyAlignment="1">
      <alignment horizontal="center" vertical="center" wrapText="1"/>
    </xf>
    <xf numFmtId="14" fontId="5" fillId="2" borderId="4" xfId="0" applyNumberFormat="1" applyFont="1" applyFill="1" applyBorder="1" applyAlignment="1">
      <alignment horizontal="center" vertical="center" wrapText="1"/>
    </xf>
    <xf numFmtId="0" fontId="6" fillId="7" borderId="5" xfId="0" applyFont="1" applyFill="1" applyBorder="1" applyAlignment="1">
      <alignment horizontal="center" vertical="center" wrapText="1"/>
    </xf>
    <xf numFmtId="0" fontId="6" fillId="7" borderId="4" xfId="0" applyFont="1" applyFill="1" applyBorder="1" applyAlignment="1">
      <alignment horizontal="center" vertical="center" wrapText="1"/>
    </xf>
    <xf numFmtId="43" fontId="4" fillId="0" borderId="5" xfId="1" applyFont="1" applyBorder="1" applyAlignment="1">
      <alignment horizontal="center" vertical="center" wrapText="1"/>
    </xf>
    <xf numFmtId="43" fontId="4" fillId="0" borderId="4" xfId="1" applyFont="1" applyBorder="1" applyAlignment="1">
      <alignment horizontal="center" vertical="center" wrapText="1"/>
    </xf>
    <xf numFmtId="43" fontId="6" fillId="7" borderId="5" xfId="1" applyFont="1" applyFill="1" applyBorder="1" applyAlignment="1">
      <alignment horizontal="center" vertical="center" wrapText="1"/>
    </xf>
    <xf numFmtId="43" fontId="6" fillId="7" borderId="7" xfId="1" applyFont="1" applyFill="1" applyBorder="1" applyAlignment="1">
      <alignment horizontal="center" vertical="center" wrapText="1"/>
    </xf>
    <xf numFmtId="43" fontId="6" fillId="7" borderId="4" xfId="1" applyFont="1" applyFill="1" applyBorder="1" applyAlignment="1">
      <alignment horizontal="center" vertical="center" wrapText="1"/>
    </xf>
    <xf numFmtId="43" fontId="4" fillId="0" borderId="5" xfId="1" applyFont="1" applyBorder="1" applyAlignment="1">
      <alignment horizontal="center"/>
    </xf>
    <xf numFmtId="43" fontId="4" fillId="0" borderId="7" xfId="1" applyFont="1" applyBorder="1" applyAlignment="1">
      <alignment horizontal="center"/>
    </xf>
    <xf numFmtId="43" fontId="4" fillId="0" borderId="4" xfId="1" applyFont="1" applyBorder="1" applyAlignment="1">
      <alignment horizontal="center"/>
    </xf>
    <xf numFmtId="43" fontId="4" fillId="0" borderId="7" xfId="1" applyFont="1" applyBorder="1" applyAlignment="1">
      <alignment horizontal="center" vertical="center" wrapText="1"/>
    </xf>
    <xf numFmtId="0" fontId="6" fillId="7" borderId="7" xfId="0" applyFont="1" applyFill="1" applyBorder="1" applyAlignment="1">
      <alignment horizontal="center" vertical="center" wrapText="1"/>
    </xf>
    <xf numFmtId="14" fontId="5" fillId="2" borderId="1" xfId="0" applyNumberFormat="1" applyFont="1" applyFill="1" applyBorder="1" applyAlignment="1">
      <alignment horizontal="left" vertical="center" wrapText="1"/>
    </xf>
    <xf numFmtId="43" fontId="12" fillId="10" borderId="6" xfId="1" applyFont="1" applyFill="1" applyBorder="1" applyAlignment="1">
      <alignment horizontal="center" vertical="center" wrapText="1"/>
    </xf>
    <xf numFmtId="43" fontId="12" fillId="10" borderId="3" xfId="1" applyFont="1" applyFill="1" applyBorder="1" applyAlignment="1">
      <alignment horizontal="center" vertical="center" wrapText="1"/>
    </xf>
    <xf numFmtId="43" fontId="15" fillId="9" borderId="2" xfId="1" applyFont="1" applyFill="1" applyBorder="1" applyAlignment="1">
      <alignment horizontal="center"/>
    </xf>
    <xf numFmtId="43" fontId="15" fillId="9" borderId="6" xfId="1" applyFont="1" applyFill="1" applyBorder="1" applyAlignment="1">
      <alignment horizontal="center"/>
    </xf>
    <xf numFmtId="43" fontId="15" fillId="9" borderId="3" xfId="1" applyFont="1" applyFill="1" applyBorder="1" applyAlignment="1">
      <alignment horizontal="center"/>
    </xf>
    <xf numFmtId="43" fontId="12" fillId="10" borderId="2" xfId="1" applyFont="1" applyFill="1" applyBorder="1" applyAlignment="1">
      <alignment horizontal="center"/>
    </xf>
    <xf numFmtId="43" fontId="12" fillId="10" borderId="6" xfId="1" applyFont="1" applyFill="1" applyBorder="1" applyAlignment="1">
      <alignment horizontal="center"/>
    </xf>
    <xf numFmtId="43" fontId="12" fillId="10" borderId="3" xfId="1" applyFont="1" applyFill="1" applyBorder="1" applyAlignment="1">
      <alignment horizontal="center"/>
    </xf>
    <xf numFmtId="0" fontId="6" fillId="2" borderId="1" xfId="0" applyFont="1" applyFill="1" applyBorder="1" applyAlignment="1">
      <alignment horizontal="left" vertical="center" wrapText="1"/>
    </xf>
    <xf numFmtId="0" fontId="6" fillId="4" borderId="1" xfId="0" applyFont="1" applyFill="1" applyBorder="1" applyAlignment="1">
      <alignment horizontal="left" vertical="center" wrapText="1"/>
    </xf>
    <xf numFmtId="0" fontId="6" fillId="4" borderId="1" xfId="0" applyFont="1" applyFill="1" applyBorder="1" applyAlignment="1">
      <alignment horizontal="center" vertical="center" wrapText="1"/>
    </xf>
    <xf numFmtId="0" fontId="5" fillId="5" borderId="1" xfId="0" applyFont="1" applyFill="1" applyBorder="1" applyAlignment="1">
      <alignment horizontal="left" vertical="center" wrapText="1"/>
    </xf>
    <xf numFmtId="43" fontId="6" fillId="0" borderId="5" xfId="1" applyFont="1" applyFill="1" applyBorder="1" applyAlignment="1">
      <alignment horizontal="center" vertical="center" wrapText="1"/>
    </xf>
    <xf numFmtId="43" fontId="6" fillId="0" borderId="7" xfId="1" applyFont="1" applyFill="1" applyBorder="1" applyAlignment="1">
      <alignment horizontal="center" vertical="center" wrapText="1"/>
    </xf>
    <xf numFmtId="43" fontId="6" fillId="0" borderId="4" xfId="1"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7" xfId="0" applyFont="1" applyFill="1" applyBorder="1" applyAlignment="1">
      <alignment horizontal="center" vertical="center" wrapText="1"/>
    </xf>
    <xf numFmtId="43" fontId="14" fillId="9" borderId="6" xfId="1" applyFont="1" applyFill="1" applyBorder="1" applyAlignment="1">
      <alignment horizontal="center" vertical="center" wrapText="1"/>
    </xf>
    <xf numFmtId="43" fontId="14" fillId="9" borderId="3" xfId="1" applyFont="1" applyFill="1" applyBorder="1" applyAlignment="1">
      <alignment horizontal="center" vertical="center" wrapText="1"/>
    </xf>
    <xf numFmtId="0" fontId="5" fillId="5" borderId="4" xfId="0" applyFont="1" applyFill="1" applyBorder="1" applyAlignment="1">
      <alignment horizontal="center" vertical="center" wrapText="1"/>
    </xf>
    <xf numFmtId="14" fontId="6" fillId="0" borderId="5" xfId="1" applyNumberFormat="1" applyFont="1" applyFill="1" applyBorder="1" applyAlignment="1">
      <alignment horizontal="center" vertical="center" wrapText="1"/>
    </xf>
    <xf numFmtId="14" fontId="6" fillId="0" borderId="7" xfId="1" applyNumberFormat="1" applyFont="1" applyFill="1" applyBorder="1" applyAlignment="1">
      <alignment horizontal="center" vertical="center" wrapText="1"/>
    </xf>
    <xf numFmtId="14" fontId="6" fillId="0" borderId="4" xfId="1" applyNumberFormat="1" applyFont="1" applyFill="1" applyBorder="1" applyAlignment="1">
      <alignment horizontal="center" vertical="center" wrapText="1"/>
    </xf>
    <xf numFmtId="49" fontId="24" fillId="0" borderId="5" xfId="0" applyNumberFormat="1" applyFont="1" applyBorder="1" applyAlignment="1">
      <alignment horizontal="center" vertical="center" wrapText="1"/>
    </xf>
    <xf numFmtId="49" fontId="24" fillId="0" borderId="4" xfId="0" applyNumberFormat="1" applyFont="1" applyBorder="1" applyAlignment="1">
      <alignment horizontal="center" vertical="center" wrapText="1"/>
    </xf>
    <xf numFmtId="43" fontId="6" fillId="0" borderId="1" xfId="1" applyFont="1" applyFill="1" applyBorder="1" applyAlignment="1">
      <alignment horizontal="center" vertical="center" wrapText="1"/>
    </xf>
    <xf numFmtId="49" fontId="24" fillId="0" borderId="1" xfId="0" applyNumberFormat="1" applyFont="1" applyBorder="1" applyAlignment="1">
      <alignment horizontal="center" vertical="center" wrapText="1"/>
    </xf>
    <xf numFmtId="49" fontId="24" fillId="0" borderId="7" xfId="0" applyNumberFormat="1" applyFont="1" applyBorder="1" applyAlignment="1">
      <alignment horizontal="center"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14" fontId="6" fillId="0" borderId="1" xfId="1"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14" borderId="1" xfId="0" applyFont="1" applyFill="1" applyBorder="1" applyAlignment="1">
      <alignment horizontal="left" vertical="center" wrapText="1"/>
    </xf>
    <xf numFmtId="0" fontId="4" fillId="0" borderId="4" xfId="0" applyFont="1" applyBorder="1" applyAlignment="1">
      <alignment horizontal="center" vertical="center" wrapText="1"/>
    </xf>
    <xf numFmtId="0" fontId="6" fillId="4" borderId="5"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4" xfId="0" applyFont="1" applyFill="1" applyBorder="1" applyAlignment="1">
      <alignment horizontal="center" vertical="center" wrapText="1"/>
    </xf>
    <xf numFmtId="43" fontId="4" fillId="0" borderId="5" xfId="1" applyFont="1" applyBorder="1" applyAlignment="1">
      <alignment horizontal="center" vertical="center"/>
    </xf>
    <xf numFmtId="43" fontId="4" fillId="0" borderId="7" xfId="1" applyFont="1" applyBorder="1" applyAlignment="1">
      <alignment horizontal="center" vertical="center"/>
    </xf>
    <xf numFmtId="43" fontId="4" fillId="0" borderId="4" xfId="1" applyFont="1" applyBorder="1" applyAlignment="1">
      <alignment horizontal="center" vertical="center"/>
    </xf>
    <xf numFmtId="43" fontId="4" fillId="0" borderId="5" xfId="0" applyNumberFormat="1" applyFont="1" applyBorder="1" applyAlignment="1">
      <alignment horizontal="center" vertical="center" wrapText="1"/>
    </xf>
    <xf numFmtId="43" fontId="4" fillId="0" borderId="7" xfId="0" applyNumberFormat="1" applyFont="1" applyBorder="1" applyAlignment="1">
      <alignment horizontal="center" vertical="center" wrapText="1"/>
    </xf>
    <xf numFmtId="43" fontId="4" fillId="0" borderId="4" xfId="0" applyNumberFormat="1" applyFont="1" applyBorder="1" applyAlignment="1">
      <alignment horizontal="center" vertical="center" wrapText="1"/>
    </xf>
    <xf numFmtId="14" fontId="4" fillId="0" borderId="5" xfId="0" applyNumberFormat="1" applyFont="1" applyBorder="1" applyAlignment="1">
      <alignment horizontal="center" vertical="center" wrapText="1"/>
    </xf>
    <xf numFmtId="14" fontId="4" fillId="0" borderId="7" xfId="0" applyNumberFormat="1" applyFont="1" applyBorder="1" applyAlignment="1">
      <alignment horizontal="center" vertical="center" wrapText="1"/>
    </xf>
    <xf numFmtId="14" fontId="4" fillId="0" borderId="4" xfId="0" applyNumberFormat="1" applyFont="1" applyBorder="1" applyAlignment="1">
      <alignment horizontal="center" vertical="center" wrapText="1"/>
    </xf>
    <xf numFmtId="43" fontId="4" fillId="0" borderId="5" xfId="1" applyFont="1" applyFill="1" applyBorder="1" applyAlignment="1">
      <alignment horizontal="center" vertical="center" wrapText="1"/>
    </xf>
    <xf numFmtId="43" fontId="4" fillId="0" borderId="7" xfId="1" applyFont="1" applyFill="1" applyBorder="1" applyAlignment="1">
      <alignment horizontal="center" vertical="center" wrapText="1"/>
    </xf>
    <xf numFmtId="43" fontId="4" fillId="0" borderId="4" xfId="1" applyFont="1" applyFill="1" applyBorder="1" applyAlignment="1">
      <alignment horizontal="center" vertical="center" wrapText="1"/>
    </xf>
    <xf numFmtId="49" fontId="24" fillId="0" borderId="5" xfId="0" applyNumberFormat="1" applyFont="1" applyFill="1" applyBorder="1" applyAlignment="1">
      <alignment horizontal="center" vertical="center" wrapText="1"/>
    </xf>
    <xf numFmtId="49" fontId="24" fillId="0" borderId="7" xfId="0" applyNumberFormat="1" applyFont="1" applyFill="1" applyBorder="1" applyAlignment="1">
      <alignment horizontal="center" vertical="center" wrapText="1"/>
    </xf>
    <xf numFmtId="49" fontId="24" fillId="0" borderId="4" xfId="0" applyNumberFormat="1" applyFont="1" applyFill="1" applyBorder="1" applyAlignment="1">
      <alignment horizontal="center" vertical="center" wrapText="1"/>
    </xf>
    <xf numFmtId="43" fontId="6" fillId="2" borderId="5" xfId="1" applyFont="1" applyFill="1" applyBorder="1" applyAlignment="1">
      <alignment horizontal="center" vertical="center" wrapText="1"/>
    </xf>
    <xf numFmtId="43" fontId="6" fillId="2" borderId="7" xfId="1" applyFont="1" applyFill="1" applyBorder="1" applyAlignment="1">
      <alignment horizontal="center" vertical="center" wrapText="1"/>
    </xf>
    <xf numFmtId="43" fontId="6" fillId="2" borderId="4" xfId="1" applyFont="1" applyFill="1" applyBorder="1" applyAlignment="1">
      <alignment horizontal="center" vertical="center" wrapText="1"/>
    </xf>
  </cellXfs>
  <cellStyles count="5">
    <cellStyle name="Hipervínculo" xfId="4" builtinId="8"/>
    <cellStyle name="Millares" xfId="1" builtinId="3"/>
    <cellStyle name="Millares 2" xfId="3"/>
    <cellStyle name="Normal" xfId="0" builtinId="0"/>
    <cellStyle name="Porcentaje" xfId="2" builtinId="5"/>
  </cellStyles>
  <dxfs count="0"/>
  <tableStyles count="0" defaultTableStyle="TableStyleMedium2" defaultPivotStyle="PivotStyleLight16"/>
  <colors>
    <mruColors>
      <color rgb="FF0033CC"/>
      <color rgb="FF996600"/>
      <color rgb="FF00FFCC"/>
      <color rgb="FFFF33CC"/>
      <color rgb="FFFF66FF"/>
      <color rgb="FF009900"/>
      <color rgb="FFFFFF66"/>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hyperlink" Target="#Resumen!A1"/></Relationships>
</file>

<file path=xl/drawings/_rels/drawing10.xml.rels><?xml version="1.0" encoding="UTF-8" standalone="yes"?>
<Relationships xmlns="http://schemas.openxmlformats.org/package/2006/relationships"><Relationship Id="rId1" Type="http://schemas.openxmlformats.org/officeDocument/2006/relationships/hyperlink" Target="#Resumen!A1"/></Relationships>
</file>

<file path=xl/drawings/_rels/drawing11.xml.rels><?xml version="1.0" encoding="UTF-8" standalone="yes"?>
<Relationships xmlns="http://schemas.openxmlformats.org/package/2006/relationships"><Relationship Id="rId1" Type="http://schemas.openxmlformats.org/officeDocument/2006/relationships/hyperlink" Target="#Resumen!A1"/></Relationships>
</file>

<file path=xl/drawings/_rels/drawing12.xml.rels><?xml version="1.0" encoding="UTF-8" standalone="yes"?>
<Relationships xmlns="http://schemas.openxmlformats.org/package/2006/relationships"><Relationship Id="rId1" Type="http://schemas.openxmlformats.org/officeDocument/2006/relationships/hyperlink" Target="#Resumen!A1"/></Relationships>
</file>

<file path=xl/drawings/_rels/drawing13.xml.rels><?xml version="1.0" encoding="UTF-8" standalone="yes"?>
<Relationships xmlns="http://schemas.openxmlformats.org/package/2006/relationships"><Relationship Id="rId1" Type="http://schemas.openxmlformats.org/officeDocument/2006/relationships/hyperlink" Target="#Resumen!A1"/></Relationships>
</file>

<file path=xl/drawings/_rels/drawing14.xml.rels><?xml version="1.0" encoding="UTF-8" standalone="yes"?>
<Relationships xmlns="http://schemas.openxmlformats.org/package/2006/relationships"><Relationship Id="rId1" Type="http://schemas.openxmlformats.org/officeDocument/2006/relationships/hyperlink" Target="#Resumen!A1"/></Relationships>
</file>

<file path=xl/drawings/_rels/drawing15.xml.rels><?xml version="1.0" encoding="UTF-8" standalone="yes"?>
<Relationships xmlns="http://schemas.openxmlformats.org/package/2006/relationships"><Relationship Id="rId1" Type="http://schemas.openxmlformats.org/officeDocument/2006/relationships/hyperlink" Target="#Resumen!A1"/></Relationships>
</file>

<file path=xl/drawings/_rels/drawing16.xml.rels><?xml version="1.0" encoding="UTF-8" standalone="yes"?>
<Relationships xmlns="http://schemas.openxmlformats.org/package/2006/relationships"><Relationship Id="rId1" Type="http://schemas.openxmlformats.org/officeDocument/2006/relationships/hyperlink" Target="#Resumen!A1"/></Relationships>
</file>

<file path=xl/drawings/_rels/drawing2.xml.rels><?xml version="1.0" encoding="UTF-8" standalone="yes"?>
<Relationships xmlns="http://schemas.openxmlformats.org/package/2006/relationships"><Relationship Id="rId1" Type="http://schemas.openxmlformats.org/officeDocument/2006/relationships/hyperlink" Target="#Resumen!A1"/></Relationships>
</file>

<file path=xl/drawings/_rels/drawing3.xml.rels><?xml version="1.0" encoding="UTF-8" standalone="yes"?>
<Relationships xmlns="http://schemas.openxmlformats.org/package/2006/relationships"><Relationship Id="rId1" Type="http://schemas.openxmlformats.org/officeDocument/2006/relationships/hyperlink" Target="#Resumen!A1"/></Relationships>
</file>

<file path=xl/drawings/_rels/drawing4.xml.rels><?xml version="1.0" encoding="UTF-8" standalone="yes"?>
<Relationships xmlns="http://schemas.openxmlformats.org/package/2006/relationships"><Relationship Id="rId1" Type="http://schemas.openxmlformats.org/officeDocument/2006/relationships/hyperlink" Target="#Resumen!A1"/></Relationships>
</file>

<file path=xl/drawings/_rels/drawing5.xml.rels><?xml version="1.0" encoding="UTF-8" standalone="yes"?>
<Relationships xmlns="http://schemas.openxmlformats.org/package/2006/relationships"><Relationship Id="rId1" Type="http://schemas.openxmlformats.org/officeDocument/2006/relationships/hyperlink" Target="#Resumen!A1"/></Relationships>
</file>

<file path=xl/drawings/_rels/drawing6.xml.rels><?xml version="1.0" encoding="UTF-8" standalone="yes"?>
<Relationships xmlns="http://schemas.openxmlformats.org/package/2006/relationships"><Relationship Id="rId1" Type="http://schemas.openxmlformats.org/officeDocument/2006/relationships/hyperlink" Target="#Resumen!A1"/></Relationships>
</file>

<file path=xl/drawings/_rels/drawing7.xml.rels><?xml version="1.0" encoding="UTF-8" standalone="yes"?>
<Relationships xmlns="http://schemas.openxmlformats.org/package/2006/relationships"><Relationship Id="rId1" Type="http://schemas.openxmlformats.org/officeDocument/2006/relationships/hyperlink" Target="#Resumen!A1"/></Relationships>
</file>

<file path=xl/drawings/_rels/drawing8.xml.rels><?xml version="1.0" encoding="UTF-8" standalone="yes"?>
<Relationships xmlns="http://schemas.openxmlformats.org/package/2006/relationships"><Relationship Id="rId1" Type="http://schemas.openxmlformats.org/officeDocument/2006/relationships/hyperlink" Target="#Resumen!A1"/></Relationships>
</file>

<file path=xl/drawings/_rels/drawing9.xml.rels><?xml version="1.0" encoding="UTF-8" standalone="yes"?>
<Relationships xmlns="http://schemas.openxmlformats.org/package/2006/relationships"><Relationship Id="rId1" Type="http://schemas.openxmlformats.org/officeDocument/2006/relationships/hyperlink" Target="#Resumen!A1"/></Relationships>
</file>

<file path=xl/drawings/drawing1.xml><?xml version="1.0" encoding="utf-8"?>
<xdr:wsDr xmlns:xdr="http://schemas.openxmlformats.org/drawingml/2006/spreadsheetDrawing" xmlns:a="http://schemas.openxmlformats.org/drawingml/2006/main">
  <xdr:twoCellAnchor>
    <xdr:from>
      <xdr:col>18</xdr:col>
      <xdr:colOff>66675</xdr:colOff>
      <xdr:row>61</xdr:row>
      <xdr:rowOff>85725</xdr:rowOff>
    </xdr:from>
    <xdr:to>
      <xdr:col>18</xdr:col>
      <xdr:colOff>885825</xdr:colOff>
      <xdr:row>63</xdr:row>
      <xdr:rowOff>66675</xdr:rowOff>
    </xdr:to>
    <xdr:sp macro="" textlink="">
      <xdr:nvSpPr>
        <xdr:cNvPr id="2" name="Flecha izquierda 1">
          <a:hlinkClick xmlns:r="http://schemas.openxmlformats.org/officeDocument/2006/relationships" r:id="rId1"/>
        </xdr:cNvPr>
        <xdr:cNvSpPr/>
      </xdr:nvSpPr>
      <xdr:spPr>
        <a:xfrm>
          <a:off x="16802100" y="3914775"/>
          <a:ext cx="819150" cy="285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C"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18</xdr:col>
      <xdr:colOff>57150</xdr:colOff>
      <xdr:row>15</xdr:row>
      <xdr:rowOff>85726</xdr:rowOff>
    </xdr:from>
    <xdr:to>
      <xdr:col>18</xdr:col>
      <xdr:colOff>752475</xdr:colOff>
      <xdr:row>17</xdr:row>
      <xdr:rowOff>28576</xdr:rowOff>
    </xdr:to>
    <xdr:sp macro="" textlink="">
      <xdr:nvSpPr>
        <xdr:cNvPr id="2" name="Flecha izquierda 1">
          <a:hlinkClick xmlns:r="http://schemas.openxmlformats.org/officeDocument/2006/relationships" r:id="rId1"/>
        </xdr:cNvPr>
        <xdr:cNvSpPr/>
      </xdr:nvSpPr>
      <xdr:spPr>
        <a:xfrm>
          <a:off x="15735300" y="7067551"/>
          <a:ext cx="695325" cy="2476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C"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18</xdr:col>
      <xdr:colOff>95249</xdr:colOff>
      <xdr:row>19</xdr:row>
      <xdr:rowOff>95250</xdr:rowOff>
    </xdr:from>
    <xdr:to>
      <xdr:col>19</xdr:col>
      <xdr:colOff>9524</xdr:colOff>
      <xdr:row>21</xdr:row>
      <xdr:rowOff>66675</xdr:rowOff>
    </xdr:to>
    <xdr:sp macro="" textlink="">
      <xdr:nvSpPr>
        <xdr:cNvPr id="2" name="Flecha izquierda 1">
          <a:hlinkClick xmlns:r="http://schemas.openxmlformats.org/officeDocument/2006/relationships" r:id="rId1"/>
        </xdr:cNvPr>
        <xdr:cNvSpPr/>
      </xdr:nvSpPr>
      <xdr:spPr>
        <a:xfrm>
          <a:off x="15840074" y="10191750"/>
          <a:ext cx="676275" cy="2762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C"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18</xdr:col>
      <xdr:colOff>28575</xdr:colOff>
      <xdr:row>13</xdr:row>
      <xdr:rowOff>66675</xdr:rowOff>
    </xdr:from>
    <xdr:to>
      <xdr:col>18</xdr:col>
      <xdr:colOff>752475</xdr:colOff>
      <xdr:row>15</xdr:row>
      <xdr:rowOff>57150</xdr:rowOff>
    </xdr:to>
    <xdr:sp macro="" textlink="">
      <xdr:nvSpPr>
        <xdr:cNvPr id="2" name="Flecha izquierda 1">
          <a:hlinkClick xmlns:r="http://schemas.openxmlformats.org/officeDocument/2006/relationships" r:id="rId1"/>
        </xdr:cNvPr>
        <xdr:cNvSpPr/>
      </xdr:nvSpPr>
      <xdr:spPr>
        <a:xfrm>
          <a:off x="15640050" y="6276975"/>
          <a:ext cx="723900" cy="2952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C"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18</xdr:col>
      <xdr:colOff>28575</xdr:colOff>
      <xdr:row>11</xdr:row>
      <xdr:rowOff>66676</xdr:rowOff>
    </xdr:from>
    <xdr:to>
      <xdr:col>19</xdr:col>
      <xdr:colOff>19050</xdr:colOff>
      <xdr:row>13</xdr:row>
      <xdr:rowOff>57150</xdr:rowOff>
    </xdr:to>
    <xdr:sp macro="" textlink="">
      <xdr:nvSpPr>
        <xdr:cNvPr id="2" name="Flecha izquierda 1">
          <a:hlinkClick xmlns:r="http://schemas.openxmlformats.org/officeDocument/2006/relationships" r:id="rId1"/>
        </xdr:cNvPr>
        <xdr:cNvSpPr/>
      </xdr:nvSpPr>
      <xdr:spPr>
        <a:xfrm>
          <a:off x="15935325" y="3200401"/>
          <a:ext cx="752475" cy="29527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C"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18</xdr:col>
      <xdr:colOff>47625</xdr:colOff>
      <xdr:row>15</xdr:row>
      <xdr:rowOff>85725</xdr:rowOff>
    </xdr:from>
    <xdr:to>
      <xdr:col>19</xdr:col>
      <xdr:colOff>28575</xdr:colOff>
      <xdr:row>17</xdr:row>
      <xdr:rowOff>57150</xdr:rowOff>
    </xdr:to>
    <xdr:sp macro="" textlink="">
      <xdr:nvSpPr>
        <xdr:cNvPr id="2" name="Flecha izquierda 1">
          <a:hlinkClick xmlns:r="http://schemas.openxmlformats.org/officeDocument/2006/relationships" r:id="rId1"/>
        </xdr:cNvPr>
        <xdr:cNvSpPr/>
      </xdr:nvSpPr>
      <xdr:spPr>
        <a:xfrm>
          <a:off x="15849600" y="8915400"/>
          <a:ext cx="742950" cy="2762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C"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17</xdr:col>
      <xdr:colOff>847726</xdr:colOff>
      <xdr:row>25</xdr:row>
      <xdr:rowOff>57150</xdr:rowOff>
    </xdr:from>
    <xdr:to>
      <xdr:col>18</xdr:col>
      <xdr:colOff>752475</xdr:colOff>
      <xdr:row>27</xdr:row>
      <xdr:rowOff>57149</xdr:rowOff>
    </xdr:to>
    <xdr:sp macro="" textlink="">
      <xdr:nvSpPr>
        <xdr:cNvPr id="2" name="Flecha izquierda 1">
          <a:hlinkClick xmlns:r="http://schemas.openxmlformats.org/officeDocument/2006/relationships" r:id="rId1"/>
        </xdr:cNvPr>
        <xdr:cNvSpPr/>
      </xdr:nvSpPr>
      <xdr:spPr>
        <a:xfrm>
          <a:off x="15754351" y="4562475"/>
          <a:ext cx="790574" cy="30479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C"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18</xdr:col>
      <xdr:colOff>19050</xdr:colOff>
      <xdr:row>18</xdr:row>
      <xdr:rowOff>76200</xdr:rowOff>
    </xdr:from>
    <xdr:to>
      <xdr:col>18</xdr:col>
      <xdr:colOff>742950</xdr:colOff>
      <xdr:row>20</xdr:row>
      <xdr:rowOff>85725</xdr:rowOff>
    </xdr:to>
    <xdr:sp macro="" textlink="">
      <xdr:nvSpPr>
        <xdr:cNvPr id="2" name="Flecha izquierda 1">
          <a:hlinkClick xmlns:r="http://schemas.openxmlformats.org/officeDocument/2006/relationships" r:id="rId1"/>
        </xdr:cNvPr>
        <xdr:cNvSpPr/>
      </xdr:nvSpPr>
      <xdr:spPr>
        <a:xfrm>
          <a:off x="15992475" y="10972800"/>
          <a:ext cx="723900" cy="3143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C"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95250</xdr:colOff>
      <xdr:row>48</xdr:row>
      <xdr:rowOff>95250</xdr:rowOff>
    </xdr:from>
    <xdr:to>
      <xdr:col>18</xdr:col>
      <xdr:colOff>704850</xdr:colOff>
      <xdr:row>50</xdr:row>
      <xdr:rowOff>47625</xdr:rowOff>
    </xdr:to>
    <xdr:sp macro="" textlink="">
      <xdr:nvSpPr>
        <xdr:cNvPr id="3" name="Flecha izquierda 2">
          <a:hlinkClick xmlns:r="http://schemas.openxmlformats.org/officeDocument/2006/relationships" r:id="rId1"/>
        </xdr:cNvPr>
        <xdr:cNvSpPr/>
      </xdr:nvSpPr>
      <xdr:spPr>
        <a:xfrm>
          <a:off x="15659100" y="11763375"/>
          <a:ext cx="609600" cy="285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C"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57150</xdr:colOff>
      <xdr:row>213</xdr:row>
      <xdr:rowOff>95250</xdr:rowOff>
    </xdr:from>
    <xdr:to>
      <xdr:col>18</xdr:col>
      <xdr:colOff>790575</xdr:colOff>
      <xdr:row>215</xdr:row>
      <xdr:rowOff>0</xdr:rowOff>
    </xdr:to>
    <xdr:sp macro="" textlink="">
      <xdr:nvSpPr>
        <xdr:cNvPr id="2" name="Flecha izquierda 1">
          <a:hlinkClick xmlns:r="http://schemas.openxmlformats.org/officeDocument/2006/relationships" r:id="rId1"/>
        </xdr:cNvPr>
        <xdr:cNvSpPr/>
      </xdr:nvSpPr>
      <xdr:spPr>
        <a:xfrm>
          <a:off x="15621000" y="69437250"/>
          <a:ext cx="733425" cy="2952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C"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47625</xdr:colOff>
      <xdr:row>15</xdr:row>
      <xdr:rowOff>104775</xdr:rowOff>
    </xdr:from>
    <xdr:to>
      <xdr:col>18</xdr:col>
      <xdr:colOff>752475</xdr:colOff>
      <xdr:row>17</xdr:row>
      <xdr:rowOff>38100</xdr:rowOff>
    </xdr:to>
    <xdr:sp macro="" textlink="">
      <xdr:nvSpPr>
        <xdr:cNvPr id="2" name="Flecha izquierda 1">
          <a:hlinkClick xmlns:r="http://schemas.openxmlformats.org/officeDocument/2006/relationships" r:id="rId1"/>
        </xdr:cNvPr>
        <xdr:cNvSpPr/>
      </xdr:nvSpPr>
      <xdr:spPr>
        <a:xfrm>
          <a:off x="14973300" y="4391025"/>
          <a:ext cx="704850" cy="2381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C"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18</xdr:col>
      <xdr:colOff>47625</xdr:colOff>
      <xdr:row>16</xdr:row>
      <xdr:rowOff>76201</xdr:rowOff>
    </xdr:from>
    <xdr:to>
      <xdr:col>18</xdr:col>
      <xdr:colOff>723900</xdr:colOff>
      <xdr:row>18</xdr:row>
      <xdr:rowOff>66675</xdr:rowOff>
    </xdr:to>
    <xdr:sp macro="" textlink="">
      <xdr:nvSpPr>
        <xdr:cNvPr id="2" name="Flecha izquierda 1">
          <a:hlinkClick xmlns:r="http://schemas.openxmlformats.org/officeDocument/2006/relationships" r:id="rId1"/>
        </xdr:cNvPr>
        <xdr:cNvSpPr/>
      </xdr:nvSpPr>
      <xdr:spPr>
        <a:xfrm>
          <a:off x="15430500" y="8324851"/>
          <a:ext cx="676275" cy="29527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C"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18</xdr:col>
      <xdr:colOff>0</xdr:colOff>
      <xdr:row>12</xdr:row>
      <xdr:rowOff>76200</xdr:rowOff>
    </xdr:from>
    <xdr:to>
      <xdr:col>18</xdr:col>
      <xdr:colOff>742950</xdr:colOff>
      <xdr:row>14</xdr:row>
      <xdr:rowOff>28575</xdr:rowOff>
    </xdr:to>
    <xdr:sp macro="" textlink="">
      <xdr:nvSpPr>
        <xdr:cNvPr id="2" name="Flecha izquierda 1">
          <a:hlinkClick xmlns:r="http://schemas.openxmlformats.org/officeDocument/2006/relationships" r:id="rId1"/>
        </xdr:cNvPr>
        <xdr:cNvSpPr/>
      </xdr:nvSpPr>
      <xdr:spPr>
        <a:xfrm>
          <a:off x="15001875" y="4210050"/>
          <a:ext cx="7429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C"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18</xdr:col>
      <xdr:colOff>28575</xdr:colOff>
      <xdr:row>10</xdr:row>
      <xdr:rowOff>114301</xdr:rowOff>
    </xdr:from>
    <xdr:to>
      <xdr:col>18</xdr:col>
      <xdr:colOff>666750</xdr:colOff>
      <xdr:row>12</xdr:row>
      <xdr:rowOff>76201</xdr:rowOff>
    </xdr:to>
    <xdr:sp macro="" textlink="">
      <xdr:nvSpPr>
        <xdr:cNvPr id="2" name="Flecha izquierda 1">
          <a:hlinkClick xmlns:r="http://schemas.openxmlformats.org/officeDocument/2006/relationships" r:id="rId1"/>
        </xdr:cNvPr>
        <xdr:cNvSpPr/>
      </xdr:nvSpPr>
      <xdr:spPr>
        <a:xfrm>
          <a:off x="15687675" y="3019426"/>
          <a:ext cx="638175" cy="2667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C"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18</xdr:col>
      <xdr:colOff>9525</xdr:colOff>
      <xdr:row>9</xdr:row>
      <xdr:rowOff>85725</xdr:rowOff>
    </xdr:from>
    <xdr:to>
      <xdr:col>18</xdr:col>
      <xdr:colOff>657225</xdr:colOff>
      <xdr:row>11</xdr:row>
      <xdr:rowOff>28575</xdr:rowOff>
    </xdr:to>
    <xdr:sp macro="" textlink="">
      <xdr:nvSpPr>
        <xdr:cNvPr id="2" name="Flecha izquierda 1">
          <a:hlinkClick xmlns:r="http://schemas.openxmlformats.org/officeDocument/2006/relationships" r:id="rId1"/>
        </xdr:cNvPr>
        <xdr:cNvSpPr/>
      </xdr:nvSpPr>
      <xdr:spPr>
        <a:xfrm>
          <a:off x="15535275" y="4181475"/>
          <a:ext cx="647700" cy="2476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C"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18</xdr:col>
      <xdr:colOff>38100</xdr:colOff>
      <xdr:row>7</xdr:row>
      <xdr:rowOff>95250</xdr:rowOff>
    </xdr:from>
    <xdr:to>
      <xdr:col>18</xdr:col>
      <xdr:colOff>723900</xdr:colOff>
      <xdr:row>9</xdr:row>
      <xdr:rowOff>38100</xdr:rowOff>
    </xdr:to>
    <xdr:sp macro="" textlink="">
      <xdr:nvSpPr>
        <xdr:cNvPr id="2" name="Flecha izquierda 1">
          <a:hlinkClick xmlns:r="http://schemas.openxmlformats.org/officeDocument/2006/relationships" r:id="rId1"/>
        </xdr:cNvPr>
        <xdr:cNvSpPr/>
      </xdr:nvSpPr>
      <xdr:spPr>
        <a:xfrm>
          <a:off x="15363825" y="2819400"/>
          <a:ext cx="685800" cy="2476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C"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52"/>
  <sheetViews>
    <sheetView workbookViewId="0">
      <pane ySplit="3" topLeftCell="A31" activePane="bottomLeft" state="frozen"/>
      <selection pane="bottomLeft" activeCell="D58" sqref="D58"/>
    </sheetView>
  </sheetViews>
  <sheetFormatPr baseColWidth="10" defaultRowHeight="11.25" x14ac:dyDescent="0.2"/>
  <cols>
    <col min="1" max="1" width="36.7109375" style="5" customWidth="1"/>
    <col min="2" max="2" width="13.140625" style="5" customWidth="1"/>
    <col min="3" max="3" width="12.28515625" style="5" customWidth="1"/>
    <col min="4" max="4" width="13.140625" style="5" customWidth="1"/>
    <col min="5" max="5" width="11.5703125" style="5" customWidth="1"/>
    <col min="6" max="6" width="7.140625" style="5" customWidth="1"/>
    <col min="7" max="7" width="13.42578125" style="5" customWidth="1"/>
    <col min="8" max="8" width="8.28515625" style="5" customWidth="1"/>
    <col min="9" max="9" width="13.28515625" style="5" customWidth="1"/>
    <col min="10" max="10" width="8.7109375" style="5" customWidth="1"/>
    <col min="11" max="11" width="11.5703125" style="5" customWidth="1"/>
    <col min="12" max="16384" width="11.42578125" style="5"/>
  </cols>
  <sheetData>
    <row r="1" spans="1:11" ht="12.75" x14ac:dyDescent="0.2">
      <c r="A1" s="179" t="s">
        <v>264</v>
      </c>
      <c r="B1" s="51"/>
      <c r="C1" s="51"/>
      <c r="D1" s="52"/>
      <c r="E1" s="52"/>
      <c r="F1" s="52"/>
      <c r="G1" s="52"/>
      <c r="H1" s="53"/>
      <c r="I1" s="52"/>
      <c r="J1" s="53"/>
      <c r="K1" s="54"/>
    </row>
    <row r="2" spans="1:11" ht="12.75" x14ac:dyDescent="0.2">
      <c r="A2" s="179" t="s">
        <v>522</v>
      </c>
      <c r="B2" s="51"/>
      <c r="C2" s="51"/>
      <c r="D2" s="55"/>
      <c r="E2" s="55"/>
      <c r="F2" s="55"/>
      <c r="G2" s="55"/>
      <c r="H2" s="53"/>
      <c r="I2" s="52"/>
      <c r="J2" s="53"/>
      <c r="K2" s="54"/>
    </row>
    <row r="3" spans="1:11" ht="27.75" customHeight="1" x14ac:dyDescent="0.2">
      <c r="A3" s="94" t="s">
        <v>265</v>
      </c>
      <c r="B3" s="94" t="s">
        <v>266</v>
      </c>
      <c r="C3" s="94" t="s">
        <v>267</v>
      </c>
      <c r="D3" s="95" t="s">
        <v>155</v>
      </c>
      <c r="E3" s="95" t="s">
        <v>268</v>
      </c>
      <c r="F3" s="96" t="s">
        <v>269</v>
      </c>
      <c r="G3" s="95" t="s">
        <v>270</v>
      </c>
      <c r="H3" s="96" t="s">
        <v>269</v>
      </c>
      <c r="I3" s="95" t="s">
        <v>163</v>
      </c>
      <c r="J3" s="96" t="s">
        <v>269</v>
      </c>
      <c r="K3" s="97" t="s">
        <v>271</v>
      </c>
    </row>
    <row r="4" spans="1:11" ht="24.75" customHeight="1" x14ac:dyDescent="0.2">
      <c r="A4" s="61" t="s">
        <v>292</v>
      </c>
      <c r="B4" s="61"/>
      <c r="C4" s="61"/>
      <c r="D4" s="75"/>
      <c r="E4" s="75"/>
      <c r="F4" s="75"/>
      <c r="G4" s="75"/>
      <c r="H4" s="76"/>
      <c r="I4" s="75"/>
      <c r="J4" s="76"/>
      <c r="K4" s="60"/>
    </row>
    <row r="5" spans="1:11" ht="15" customHeight="1" x14ac:dyDescent="0.25">
      <c r="A5" s="87" t="s">
        <v>293</v>
      </c>
      <c r="B5" s="78">
        <f>Infraest.Comunitaria!H47</f>
        <v>841699.5</v>
      </c>
      <c r="C5" s="78">
        <f>Infraest.Comunitaria!I47</f>
        <v>-7878.460000000021</v>
      </c>
      <c r="D5" s="78">
        <f>Infraest.Comunitaria!J47</f>
        <v>833821.04</v>
      </c>
      <c r="E5" s="78">
        <f>Infraest.Comunitaria!O47</f>
        <v>419000</v>
      </c>
      <c r="F5" s="79">
        <f>+E5/D5</f>
        <v>0.50250590942152285</v>
      </c>
      <c r="G5" s="78">
        <f>Infraest.Comunitaria!Q47</f>
        <v>325483.07</v>
      </c>
      <c r="H5" s="79">
        <f>+G5/D5</f>
        <v>0.39035123172233693</v>
      </c>
      <c r="I5" s="78">
        <f>Infraest.Comunitaria!R47</f>
        <v>155651.93</v>
      </c>
      <c r="J5" s="79">
        <f>+I5/D5</f>
        <v>0.18667306596149216</v>
      </c>
      <c r="K5" s="80">
        <f>Infraest.Comunitaria!S47</f>
        <v>89337.97</v>
      </c>
    </row>
    <row r="6" spans="1:11" ht="15" customHeight="1" x14ac:dyDescent="0.25">
      <c r="A6" s="87" t="s">
        <v>294</v>
      </c>
      <c r="B6" s="78">
        <f>'Pres. Participat'!H213</f>
        <v>1668492.67</v>
      </c>
      <c r="C6" s="78">
        <f>'Pres. Participat'!I213</f>
        <v>-12971.220000000001</v>
      </c>
      <c r="D6" s="78">
        <f>'Pres. Participat'!J213</f>
        <v>1653582.0999999996</v>
      </c>
      <c r="E6" s="78">
        <f>'Pres. Participat'!O213</f>
        <v>49299.72</v>
      </c>
      <c r="F6" s="79">
        <f t="shared" ref="F6" si="0">+E6/D6</f>
        <v>2.9813893123298813E-2</v>
      </c>
      <c r="G6" s="78">
        <f>'Pres. Participat'!Q213</f>
        <v>1374293.5399999998</v>
      </c>
      <c r="H6" s="79">
        <f t="shared" ref="H6" si="1">+G6/D6</f>
        <v>0.83110088092995205</v>
      </c>
      <c r="I6" s="78">
        <f>'Pres. Participat'!R213</f>
        <v>1030606.5400000002</v>
      </c>
      <c r="J6" s="79">
        <f t="shared" ref="J6" si="2">+I6/D6</f>
        <v>0.62325695228558675</v>
      </c>
      <c r="K6" s="80">
        <f>'Pres. Participat'!S213</f>
        <v>229988.84</v>
      </c>
    </row>
    <row r="7" spans="1:11" ht="15" customHeight="1" x14ac:dyDescent="0.2">
      <c r="A7" s="71" t="s">
        <v>274</v>
      </c>
      <c r="B7" s="62">
        <f>SUM(B5:B6)</f>
        <v>2510192.17</v>
      </c>
      <c r="C7" s="62">
        <f>SUM(C5:C6)</f>
        <v>-20849.680000000022</v>
      </c>
      <c r="D7" s="62">
        <f>SUM(D5:D6)</f>
        <v>2487403.1399999997</v>
      </c>
      <c r="E7" s="62">
        <f>SUM(E5:E6)</f>
        <v>468299.72</v>
      </c>
      <c r="F7" s="81">
        <f>+E7/D7</f>
        <v>0.18826852490022991</v>
      </c>
      <c r="G7" s="62">
        <f>SUM(G5:G6)</f>
        <v>1699776.6099999999</v>
      </c>
      <c r="H7" s="81">
        <f>+G7/D7</f>
        <v>0.68335388930963559</v>
      </c>
      <c r="I7" s="62">
        <f>SUM(I5:I6)</f>
        <v>1186258.4700000002</v>
      </c>
      <c r="J7" s="81">
        <f>+I7/D7</f>
        <v>0.47690639724769357</v>
      </c>
      <c r="K7" s="70">
        <f>SUM(K5:K6)</f>
        <v>319326.81</v>
      </c>
    </row>
    <row r="8" spans="1:11" ht="7.5" customHeight="1" x14ac:dyDescent="0.2">
      <c r="A8" s="56"/>
      <c r="B8" s="56"/>
      <c r="C8" s="56"/>
      <c r="D8" s="57"/>
      <c r="E8" s="57"/>
      <c r="F8" s="57"/>
      <c r="G8" s="57"/>
      <c r="H8" s="59"/>
      <c r="I8" s="57"/>
      <c r="J8" s="59"/>
      <c r="K8" s="60"/>
    </row>
    <row r="9" spans="1:11" ht="24.75" customHeight="1" x14ac:dyDescent="0.2">
      <c r="A9" s="61" t="s">
        <v>296</v>
      </c>
      <c r="B9" s="61"/>
      <c r="C9" s="61"/>
      <c r="D9" s="75"/>
      <c r="E9" s="75"/>
      <c r="F9" s="75"/>
      <c r="G9" s="75"/>
      <c r="H9" s="76"/>
      <c r="I9" s="75"/>
      <c r="J9" s="76"/>
      <c r="K9" s="60"/>
    </row>
    <row r="10" spans="1:11" ht="15" customHeight="1" x14ac:dyDescent="0.25">
      <c r="A10" s="87" t="s">
        <v>295</v>
      </c>
      <c r="B10" s="82">
        <f>'Somos Quito'!H15</f>
        <v>40000</v>
      </c>
      <c r="C10" s="82">
        <f>'Somos Quito'!I15</f>
        <v>0</v>
      </c>
      <c r="D10" s="82">
        <f>'Somos Quito'!J15</f>
        <v>40000</v>
      </c>
      <c r="E10" s="82">
        <f>'Somos Quito'!O15</f>
        <v>410.92</v>
      </c>
      <c r="F10" s="83">
        <f>E10/D10</f>
        <v>1.0273000000000001E-2</v>
      </c>
      <c r="G10" s="82">
        <f>'Somos Quito'!Q15</f>
        <v>3571.27</v>
      </c>
      <c r="H10" s="79">
        <f>G10/D10</f>
        <v>8.9281749999999993E-2</v>
      </c>
      <c r="I10" s="82">
        <f>'Somos Quito'!R15</f>
        <v>3571.27</v>
      </c>
      <c r="J10" s="79">
        <f>I10/D10</f>
        <v>8.9281749999999993E-2</v>
      </c>
      <c r="K10" s="80">
        <f>'Somos Quito'!S15</f>
        <v>36017.81</v>
      </c>
    </row>
    <row r="11" spans="1:11" ht="15" customHeight="1" x14ac:dyDescent="0.25">
      <c r="A11" s="87" t="s">
        <v>272</v>
      </c>
      <c r="B11" s="82">
        <f>'Sist. Particip. Ciudadana'!H16</f>
        <v>20000</v>
      </c>
      <c r="C11" s="82">
        <f>'Sist. Particip. Ciudadana'!I16</f>
        <v>-4375.51</v>
      </c>
      <c r="D11" s="82">
        <f>'Sist. Particip. Ciudadana'!J16</f>
        <v>15624.49</v>
      </c>
      <c r="E11" s="82">
        <f>'Sist. Particip. Ciudadana'!O16</f>
        <v>641.9699999999998</v>
      </c>
      <c r="F11" s="83">
        <f t="shared" ref="F11:F13" si="3">E11/D11</f>
        <v>4.1087421093424475E-2</v>
      </c>
      <c r="G11" s="82">
        <f>'Sist. Particip. Ciudadana'!Q16</f>
        <v>10716.900000000001</v>
      </c>
      <c r="H11" s="79">
        <f t="shared" ref="H11:H13" si="4">G11/D11</f>
        <v>0.68590398790616536</v>
      </c>
      <c r="I11" s="82">
        <f>'Sist. Particip. Ciudadana'!R16</f>
        <v>5353.84</v>
      </c>
      <c r="J11" s="79">
        <f t="shared" ref="J11:J13" si="5">I11/D11</f>
        <v>0.34265694432266269</v>
      </c>
      <c r="K11" s="80">
        <f>'Sist. Particip. Ciudadana'!S16</f>
        <v>4265.62</v>
      </c>
    </row>
    <row r="12" spans="1:11" ht="15" customHeight="1" x14ac:dyDescent="0.25">
      <c r="A12" s="87" t="s">
        <v>273</v>
      </c>
      <c r="B12" s="82">
        <f>'Volunt.Quito Acción'!H12</f>
        <v>9600</v>
      </c>
      <c r="C12" s="82">
        <f>'Volunt.Quito Acción'!I12</f>
        <v>-500</v>
      </c>
      <c r="D12" s="82">
        <f>'Volunt.Quito Acción'!J12</f>
        <v>9100</v>
      </c>
      <c r="E12" s="82">
        <f>'Volunt.Quito Acción'!O12</f>
        <v>256.94999999999987</v>
      </c>
      <c r="F12" s="83">
        <f t="shared" si="3"/>
        <v>2.8236263736263721E-2</v>
      </c>
      <c r="G12" s="82">
        <f>'Volunt.Quito Acción'!Q12</f>
        <v>5555.7000000000007</v>
      </c>
      <c r="H12" s="79">
        <f t="shared" si="4"/>
        <v>0.61051648351648358</v>
      </c>
      <c r="I12" s="82">
        <f>'Volunt.Quito Acción'!R12</f>
        <v>2142.84</v>
      </c>
      <c r="J12" s="79">
        <f t="shared" si="5"/>
        <v>0.23547692307692308</v>
      </c>
      <c r="K12" s="80">
        <f>'Volunt.Quito Acción'!S12</f>
        <v>3287.35</v>
      </c>
    </row>
    <row r="13" spans="1:11" ht="15" customHeight="1" x14ac:dyDescent="0.25">
      <c r="A13" s="87" t="s">
        <v>297</v>
      </c>
      <c r="B13" s="82">
        <f>'Colonias Vacacionales'!H10</f>
        <v>45000</v>
      </c>
      <c r="C13" s="82">
        <f>'Colonias Vacacionales'!I10</f>
        <v>-6621.21</v>
      </c>
      <c r="D13" s="82">
        <f>'Colonias Vacacionales'!J10</f>
        <v>38378.789999999994</v>
      </c>
      <c r="E13" s="82">
        <f>'Colonias Vacacionales'!O10</f>
        <v>0</v>
      </c>
      <c r="F13" s="83">
        <f t="shared" si="3"/>
        <v>0</v>
      </c>
      <c r="G13" s="82">
        <f>'Colonias Vacacionales'!Q10</f>
        <v>14537.88</v>
      </c>
      <c r="H13" s="79">
        <f t="shared" si="4"/>
        <v>0.37879985273115702</v>
      </c>
      <c r="I13" s="82">
        <f>'Colonias Vacacionales'!R10</f>
        <v>0</v>
      </c>
      <c r="J13" s="79">
        <f t="shared" si="5"/>
        <v>0</v>
      </c>
      <c r="K13" s="80">
        <f>'Colonias Vacacionales'!S10</f>
        <v>23840.909999999996</v>
      </c>
    </row>
    <row r="14" spans="1:11" ht="15" customHeight="1" x14ac:dyDescent="0.2">
      <c r="A14" s="71" t="s">
        <v>276</v>
      </c>
      <c r="B14" s="62">
        <f>SUM(B10:B13)</f>
        <v>114600</v>
      </c>
      <c r="C14" s="62">
        <f t="shared" ref="C14:I14" si="6">SUM(C10:C13)</f>
        <v>-11496.720000000001</v>
      </c>
      <c r="D14" s="62">
        <f>SUM(D10:D13)</f>
        <v>103103.28</v>
      </c>
      <c r="E14" s="62">
        <f t="shared" si="6"/>
        <v>1309.8399999999997</v>
      </c>
      <c r="F14" s="88">
        <f>E14/D14</f>
        <v>1.2704154513804019E-2</v>
      </c>
      <c r="G14" s="62">
        <f t="shared" si="6"/>
        <v>34381.75</v>
      </c>
      <c r="H14" s="89">
        <f>G14/D14</f>
        <v>0.33346902251800331</v>
      </c>
      <c r="I14" s="62">
        <f t="shared" si="6"/>
        <v>11067.95</v>
      </c>
      <c r="J14" s="89">
        <f>I14/D14</f>
        <v>0.10734818523717191</v>
      </c>
      <c r="K14" s="70">
        <f>SUM(K10:K13)</f>
        <v>67411.69</v>
      </c>
    </row>
    <row r="15" spans="1:11" ht="9.75" customHeight="1" x14ac:dyDescent="0.2">
      <c r="A15" s="71"/>
      <c r="B15" s="62"/>
      <c r="C15" s="63"/>
      <c r="D15" s="64"/>
      <c r="E15" s="64"/>
      <c r="F15" s="64"/>
      <c r="G15" s="64"/>
      <c r="H15" s="65"/>
      <c r="I15" s="64"/>
      <c r="J15" s="65"/>
      <c r="K15" s="67"/>
    </row>
    <row r="16" spans="1:11" ht="15" customHeight="1" x14ac:dyDescent="0.2">
      <c r="A16" s="61" t="s">
        <v>298</v>
      </c>
      <c r="B16" s="62"/>
      <c r="C16" s="63"/>
      <c r="D16" s="64"/>
      <c r="E16" s="64"/>
      <c r="F16" s="64"/>
      <c r="G16" s="64"/>
      <c r="H16" s="65"/>
      <c r="I16" s="64"/>
      <c r="J16" s="65"/>
      <c r="K16" s="67"/>
    </row>
    <row r="17" spans="1:11" ht="15" customHeight="1" x14ac:dyDescent="0.25">
      <c r="A17" s="87" t="s">
        <v>275</v>
      </c>
      <c r="B17" s="84">
        <f>'Agenda Cult.Metrop.'!H9</f>
        <v>6000</v>
      </c>
      <c r="C17" s="84">
        <f>'Agenda Cult.Metrop.'!I9</f>
        <v>0</v>
      </c>
      <c r="D17" s="84">
        <f>'Agenda Cult.Metrop.'!J9</f>
        <v>6000</v>
      </c>
      <c r="E17" s="84">
        <f>'Agenda Cult.Metrop.'!O9</f>
        <v>0</v>
      </c>
      <c r="F17" s="68">
        <f>+E17/D17</f>
        <v>0</v>
      </c>
      <c r="G17" s="84">
        <f>'Agenda Cult.Metrop.'!Q9</f>
        <v>0</v>
      </c>
      <c r="H17" s="68">
        <f>+G17/D17</f>
        <v>0</v>
      </c>
      <c r="I17" s="84">
        <f>'Agenda Cult.Metrop.'!R9</f>
        <v>0</v>
      </c>
      <c r="J17" s="68">
        <f>+I17/D17</f>
        <v>0</v>
      </c>
      <c r="K17" s="80">
        <f>'Agenda Cult.Metrop.'!S9</f>
        <v>6000</v>
      </c>
    </row>
    <row r="18" spans="1:11" ht="15" customHeight="1" x14ac:dyDescent="0.25">
      <c r="A18" s="87" t="s">
        <v>299</v>
      </c>
      <c r="B18" s="84">
        <f>'Territorio y Cultura'!H7</f>
        <v>3000</v>
      </c>
      <c r="C18" s="84">
        <f>'Territorio y Cultura'!I7</f>
        <v>0</v>
      </c>
      <c r="D18" s="84">
        <f>'Territorio y Cultura'!J7</f>
        <v>3000</v>
      </c>
      <c r="E18" s="84">
        <f>'Territorio y Cultura'!O7</f>
        <v>0</v>
      </c>
      <c r="F18" s="68">
        <f t="shared" ref="F18:F19" si="7">+E18/D18</f>
        <v>0</v>
      </c>
      <c r="G18" s="84">
        <f>'Territorio y Cultura'!Q7</f>
        <v>0</v>
      </c>
      <c r="H18" s="68">
        <f t="shared" ref="H18:H19" si="8">+G18/D18</f>
        <v>0</v>
      </c>
      <c r="I18" s="84">
        <f>'Territorio y Cultura'!R7</f>
        <v>0</v>
      </c>
      <c r="J18" s="68">
        <f t="shared" ref="J18:J19" si="9">+I18/D18</f>
        <v>0</v>
      </c>
      <c r="K18" s="80">
        <f>'Territorio y Cultura'!S7</f>
        <v>3000</v>
      </c>
    </row>
    <row r="19" spans="1:11" ht="15" customHeight="1" x14ac:dyDescent="0.2">
      <c r="A19" s="71" t="s">
        <v>277</v>
      </c>
      <c r="B19" s="62">
        <f>SUM(B17:B18)</f>
        <v>9000</v>
      </c>
      <c r="C19" s="62">
        <f t="shared" ref="C19:K19" si="10">SUM(C17:C18)</f>
        <v>0</v>
      </c>
      <c r="D19" s="62">
        <f t="shared" si="10"/>
        <v>9000</v>
      </c>
      <c r="E19" s="62">
        <f t="shared" si="10"/>
        <v>0</v>
      </c>
      <c r="F19" s="81">
        <f t="shared" si="7"/>
        <v>0</v>
      </c>
      <c r="G19" s="62">
        <f t="shared" si="10"/>
        <v>0</v>
      </c>
      <c r="H19" s="81">
        <f t="shared" si="8"/>
        <v>0</v>
      </c>
      <c r="I19" s="62">
        <f t="shared" si="10"/>
        <v>0</v>
      </c>
      <c r="J19" s="81">
        <f t="shared" si="9"/>
        <v>0</v>
      </c>
      <c r="K19" s="70">
        <f t="shared" si="10"/>
        <v>9000</v>
      </c>
    </row>
    <row r="20" spans="1:11" ht="8.25" customHeight="1" x14ac:dyDescent="0.2">
      <c r="A20" s="71"/>
      <c r="B20" s="62"/>
      <c r="C20" s="63"/>
      <c r="D20" s="64"/>
      <c r="E20" s="64"/>
      <c r="F20" s="64"/>
      <c r="G20" s="64"/>
      <c r="H20" s="65"/>
      <c r="I20" s="64"/>
      <c r="J20" s="65"/>
      <c r="K20" s="67"/>
    </row>
    <row r="21" spans="1:11" ht="15" customHeight="1" x14ac:dyDescent="0.2">
      <c r="A21" s="61" t="s">
        <v>300</v>
      </c>
      <c r="B21" s="62"/>
      <c r="C21" s="63"/>
      <c r="D21" s="64"/>
      <c r="E21" s="64"/>
      <c r="F21" s="64"/>
      <c r="G21" s="64"/>
      <c r="H21" s="65"/>
      <c r="I21" s="64"/>
      <c r="J21" s="65"/>
      <c r="K21" s="67"/>
    </row>
    <row r="22" spans="1:11" ht="30.75" customHeight="1" x14ac:dyDescent="0.25">
      <c r="A22" s="87" t="s">
        <v>278</v>
      </c>
      <c r="B22" s="84">
        <f>'Promoc. Derech Grup Atención'!H15</f>
        <v>12750</v>
      </c>
      <c r="C22" s="84">
        <f>'Promoc. Derech Grup Atención'!I15</f>
        <v>0</v>
      </c>
      <c r="D22" s="84">
        <f>'Promoc. Derech Grup Atención'!J15</f>
        <v>12750</v>
      </c>
      <c r="E22" s="84">
        <f>'Promoc. Derech Grup Atención'!O15</f>
        <v>0</v>
      </c>
      <c r="F22" s="68">
        <f>E22/D22</f>
        <v>0</v>
      </c>
      <c r="G22" s="84">
        <f>'Promoc. Derech Grup Atención'!Q15</f>
        <v>2482.08</v>
      </c>
      <c r="H22" s="68">
        <f>G22/D22</f>
        <v>0.19467294117647058</v>
      </c>
      <c r="I22" s="84">
        <f>'Promoc. Derech Grup Atención'!R15</f>
        <v>797.76</v>
      </c>
      <c r="J22" s="68">
        <f>I22/D22</f>
        <v>6.2569411764705887E-2</v>
      </c>
      <c r="K22" s="80">
        <f>'Promoc. Derech Grup Atención'!S15</f>
        <v>10267.92</v>
      </c>
    </row>
    <row r="23" spans="1:11" ht="15" customHeight="1" x14ac:dyDescent="0.2">
      <c r="A23" s="71" t="s">
        <v>279</v>
      </c>
      <c r="B23" s="85">
        <f>SUM(B22:B22)</f>
        <v>12750</v>
      </c>
      <c r="C23" s="85">
        <f>SUM(C22:C22)</f>
        <v>0</v>
      </c>
      <c r="D23" s="85">
        <f>SUM(D22:D22)</f>
        <v>12750</v>
      </c>
      <c r="E23" s="85">
        <f>SUM(E22:E22)</f>
        <v>0</v>
      </c>
      <c r="F23" s="81">
        <v>0</v>
      </c>
      <c r="G23" s="85">
        <f>SUM(G22:G22)</f>
        <v>2482.08</v>
      </c>
      <c r="H23" s="81">
        <v>0</v>
      </c>
      <c r="I23" s="85">
        <f>SUM(I22:I22)</f>
        <v>797.76</v>
      </c>
      <c r="J23" s="81">
        <v>0</v>
      </c>
      <c r="K23" s="70">
        <f>SUM(K22:K22)</f>
        <v>10267.92</v>
      </c>
    </row>
    <row r="24" spans="1:11" ht="8.25" customHeight="1" x14ac:dyDescent="0.2">
      <c r="A24" s="71"/>
      <c r="B24" s="62"/>
      <c r="C24" s="63"/>
      <c r="D24" s="64"/>
      <c r="E24" s="64"/>
      <c r="F24" s="64"/>
      <c r="G24" s="64"/>
      <c r="H24" s="65"/>
      <c r="I24" s="64"/>
      <c r="J24" s="65"/>
      <c r="K24" s="67"/>
    </row>
    <row r="25" spans="1:11" ht="15" customHeight="1" x14ac:dyDescent="0.2">
      <c r="A25" s="61" t="s">
        <v>280</v>
      </c>
      <c r="B25" s="62"/>
      <c r="C25" s="63"/>
      <c r="D25" s="64"/>
      <c r="E25" s="64"/>
      <c r="F25" s="64"/>
      <c r="G25" s="64"/>
      <c r="H25" s="65"/>
      <c r="I25" s="64"/>
      <c r="J25" s="65"/>
      <c r="K25" s="67"/>
    </row>
    <row r="26" spans="1:11" ht="15" customHeight="1" x14ac:dyDescent="0.25">
      <c r="A26" s="87" t="s">
        <v>281</v>
      </c>
      <c r="B26" s="84">
        <f>'Segur.Aliment Calidad'!H19</f>
        <v>15048</v>
      </c>
      <c r="C26" s="84">
        <f>'Segur.Aliment Calidad'!I19</f>
        <v>-5640</v>
      </c>
      <c r="D26" s="84">
        <f>'Segur.Aliment Calidad'!J19</f>
        <v>9408</v>
      </c>
      <c r="E26" s="84">
        <f>'Segur.Aliment Calidad'!O19</f>
        <v>0</v>
      </c>
      <c r="F26" s="68">
        <f>E26/D26</f>
        <v>0</v>
      </c>
      <c r="G26" s="84">
        <f>'Segur.Aliment Calidad'!Q19</f>
        <v>7600</v>
      </c>
      <c r="H26" s="68">
        <f>G26/D26</f>
        <v>0.80782312925170063</v>
      </c>
      <c r="I26" s="84">
        <f>'Segur.Aliment Calidad'!R19</f>
        <v>7600</v>
      </c>
      <c r="J26" s="68">
        <f>I26/D26</f>
        <v>0.80782312925170063</v>
      </c>
      <c r="K26" s="80">
        <f>'Segur.Aliment Calidad'!S19</f>
        <v>1808</v>
      </c>
    </row>
    <row r="27" spans="1:11" ht="28.5" customHeight="1" x14ac:dyDescent="0.25">
      <c r="A27" s="87" t="s">
        <v>282</v>
      </c>
      <c r="B27" s="84">
        <f>Sist.Integral.Promoc.Salud!H13</f>
        <v>15048</v>
      </c>
      <c r="C27" s="84">
        <f>Sist.Integral.Promoc.Salud!I13</f>
        <v>-5640</v>
      </c>
      <c r="D27" s="84">
        <f>Sist.Integral.Promoc.Salud!J13</f>
        <v>9408</v>
      </c>
      <c r="E27" s="84">
        <f>Sist.Integral.Promoc.Salud!O13</f>
        <v>0</v>
      </c>
      <c r="F27" s="68">
        <f>E27/D27</f>
        <v>0</v>
      </c>
      <c r="G27" s="84">
        <f>Sist.Integral.Promoc.Salud!Q13</f>
        <v>7600</v>
      </c>
      <c r="H27" s="68">
        <f>G27/D27</f>
        <v>0.80782312925170063</v>
      </c>
      <c r="I27" s="84">
        <f>Sist.Integral.Promoc.Salud!R13</f>
        <v>4000</v>
      </c>
      <c r="J27" s="68">
        <f>I27/D27</f>
        <v>0.42517006802721086</v>
      </c>
      <c r="K27" s="80">
        <f>Sist.Integral.Promoc.Salud!S13</f>
        <v>1808</v>
      </c>
    </row>
    <row r="28" spans="1:11" ht="15" customHeight="1" x14ac:dyDescent="0.2">
      <c r="A28" s="71" t="s">
        <v>283</v>
      </c>
      <c r="B28" s="62">
        <f>SUM(B26:B27)</f>
        <v>30096</v>
      </c>
      <c r="C28" s="62">
        <f t="shared" ref="C28:K28" si="11">SUM(C26:C27)</f>
        <v>-11280</v>
      </c>
      <c r="D28" s="62">
        <f t="shared" si="11"/>
        <v>18816</v>
      </c>
      <c r="E28" s="62">
        <f t="shared" si="11"/>
        <v>0</v>
      </c>
      <c r="F28" s="81">
        <f>E28/D28</f>
        <v>0</v>
      </c>
      <c r="G28" s="62">
        <f t="shared" si="11"/>
        <v>15200</v>
      </c>
      <c r="H28" s="81">
        <f>G28/D28</f>
        <v>0.80782312925170063</v>
      </c>
      <c r="I28" s="62">
        <f t="shared" si="11"/>
        <v>11600</v>
      </c>
      <c r="J28" s="81">
        <f>I28/D28</f>
        <v>0.61649659863945583</v>
      </c>
      <c r="K28" s="70">
        <f t="shared" si="11"/>
        <v>3616</v>
      </c>
    </row>
    <row r="29" spans="1:11" ht="9" customHeight="1" x14ac:dyDescent="0.2">
      <c r="A29" s="77"/>
      <c r="B29" s="84"/>
      <c r="C29" s="84"/>
      <c r="D29" s="84"/>
      <c r="E29" s="84"/>
      <c r="F29" s="68"/>
      <c r="G29" s="84"/>
      <c r="H29" s="68"/>
      <c r="I29" s="84"/>
      <c r="J29" s="68"/>
      <c r="K29" s="80"/>
    </row>
    <row r="30" spans="1:11" ht="15" customHeight="1" x14ac:dyDescent="0.2">
      <c r="A30" s="61" t="s">
        <v>301</v>
      </c>
      <c r="B30" s="84"/>
      <c r="C30" s="84"/>
      <c r="D30" s="84"/>
      <c r="E30" s="84"/>
      <c r="F30" s="68"/>
      <c r="G30" s="84"/>
      <c r="H30" s="68"/>
      <c r="I30" s="84"/>
      <c r="J30" s="68"/>
      <c r="K30" s="80"/>
    </row>
    <row r="31" spans="1:11" ht="15" customHeight="1" x14ac:dyDescent="0.25">
      <c r="A31" s="87" t="s">
        <v>302</v>
      </c>
      <c r="B31" s="84">
        <f>'Manej.Fauna Urbana'!H11</f>
        <v>16416</v>
      </c>
      <c r="C31" s="84">
        <f>'Manej.Fauna Urbana'!I11</f>
        <v>-16416</v>
      </c>
      <c r="D31" s="84">
        <f>'Manej.Fauna Urbana'!J11</f>
        <v>0</v>
      </c>
      <c r="E31" s="84">
        <f>'Manej.Fauna Urbana'!O11</f>
        <v>0</v>
      </c>
      <c r="F31" s="68"/>
      <c r="G31" s="84">
        <f>'Manej.Fauna Urbana'!Q11</f>
        <v>0</v>
      </c>
      <c r="H31" s="68"/>
      <c r="I31" s="84">
        <f>'Manej.Fauna Urbana'!R11</f>
        <v>0</v>
      </c>
      <c r="J31" s="68"/>
      <c r="K31" s="80">
        <f>'Manej.Fauna Urbana'!S11</f>
        <v>0</v>
      </c>
    </row>
    <row r="32" spans="1:11" ht="15" customHeight="1" x14ac:dyDescent="0.2">
      <c r="A32" s="71" t="s">
        <v>284</v>
      </c>
      <c r="B32" s="62">
        <f>SUM(B31)</f>
        <v>16416</v>
      </c>
      <c r="C32" s="62">
        <f t="shared" ref="C32:K32" si="12">SUM(C31)</f>
        <v>-16416</v>
      </c>
      <c r="D32" s="62">
        <f t="shared" si="12"/>
        <v>0</v>
      </c>
      <c r="E32" s="62">
        <f t="shared" si="12"/>
        <v>0</v>
      </c>
      <c r="F32" s="81">
        <v>0</v>
      </c>
      <c r="G32" s="62">
        <f t="shared" si="12"/>
        <v>0</v>
      </c>
      <c r="H32" s="81">
        <v>0</v>
      </c>
      <c r="I32" s="62">
        <f t="shared" si="12"/>
        <v>0</v>
      </c>
      <c r="J32" s="81">
        <v>0</v>
      </c>
      <c r="K32" s="70">
        <f t="shared" si="12"/>
        <v>0</v>
      </c>
    </row>
    <row r="33" spans="1:11" ht="9" customHeight="1" x14ac:dyDescent="0.2">
      <c r="A33" s="71"/>
      <c r="B33" s="62"/>
      <c r="C33" s="63"/>
      <c r="D33" s="64"/>
      <c r="E33" s="64"/>
      <c r="F33" s="64"/>
      <c r="G33" s="64"/>
      <c r="H33" s="65"/>
      <c r="I33" s="64"/>
      <c r="J33" s="65"/>
      <c r="K33" s="67"/>
    </row>
    <row r="34" spans="1:11" ht="15" customHeight="1" x14ac:dyDescent="0.2">
      <c r="A34" s="61" t="s">
        <v>303</v>
      </c>
      <c r="B34" s="62"/>
      <c r="C34" s="63"/>
      <c r="D34" s="64"/>
      <c r="E34" s="64"/>
      <c r="F34" s="64"/>
      <c r="G34" s="64"/>
      <c r="H34" s="65"/>
      <c r="I34" s="64"/>
      <c r="J34" s="65"/>
      <c r="K34" s="67"/>
    </row>
    <row r="35" spans="1:11" ht="15" customHeight="1" x14ac:dyDescent="0.25">
      <c r="A35" s="87" t="s">
        <v>304</v>
      </c>
      <c r="B35" s="84">
        <f>Prevenc.Situac.Conv.Pacífica!H15</f>
        <v>5500</v>
      </c>
      <c r="C35" s="84">
        <f>Prevenc.Situac.Conv.Pacífica!I15</f>
        <v>0</v>
      </c>
      <c r="D35" s="84">
        <f>Prevenc.Situac.Conv.Pacífica!J15</f>
        <v>5500</v>
      </c>
      <c r="E35" s="84">
        <f>Prevenc.Situac.Conv.Pacífica!O15</f>
        <v>586.11000000000035</v>
      </c>
      <c r="F35" s="68">
        <f>E35/D35</f>
        <v>0.10656545454545462</v>
      </c>
      <c r="G35" s="84">
        <f>Prevenc.Situac.Conv.Pacífica!Q15</f>
        <v>4884.1499999999996</v>
      </c>
      <c r="H35" s="68">
        <f>G35/D35</f>
        <v>0.88802727272727267</v>
      </c>
      <c r="I35" s="84">
        <f>Prevenc.Situac.Conv.Pacífica!R15</f>
        <v>4884.1499999999996</v>
      </c>
      <c r="J35" s="68">
        <f>I35/D35</f>
        <v>0.88802727272727267</v>
      </c>
      <c r="K35" s="80">
        <f>Prevenc.Situac.Conv.Pacífica!S15</f>
        <v>29.739999999999782</v>
      </c>
    </row>
    <row r="36" spans="1:11" ht="15" customHeight="1" x14ac:dyDescent="0.2">
      <c r="A36" s="71" t="s">
        <v>285</v>
      </c>
      <c r="B36" s="62">
        <f>SUM(B35)</f>
        <v>5500</v>
      </c>
      <c r="C36" s="62">
        <f t="shared" ref="C36:K36" si="13">SUM(C35)</f>
        <v>0</v>
      </c>
      <c r="D36" s="62">
        <f t="shared" si="13"/>
        <v>5500</v>
      </c>
      <c r="E36" s="62">
        <f t="shared" si="13"/>
        <v>586.11000000000035</v>
      </c>
      <c r="F36" s="81">
        <f>E36/D36</f>
        <v>0.10656545454545462</v>
      </c>
      <c r="G36" s="62">
        <f t="shared" si="13"/>
        <v>4884.1499999999996</v>
      </c>
      <c r="H36" s="81">
        <f>G36/D36</f>
        <v>0.88802727272727267</v>
      </c>
      <c r="I36" s="62">
        <f>SUM(I35)</f>
        <v>4884.1499999999996</v>
      </c>
      <c r="J36" s="81">
        <f>I36/D36</f>
        <v>0.88802727272727267</v>
      </c>
      <c r="K36" s="70">
        <f t="shared" si="13"/>
        <v>29.739999999999782</v>
      </c>
    </row>
    <row r="37" spans="1:11" ht="15" customHeight="1" x14ac:dyDescent="0.2">
      <c r="A37" s="71"/>
      <c r="B37" s="62"/>
      <c r="C37" s="63"/>
      <c r="D37" s="64"/>
      <c r="E37" s="64"/>
      <c r="F37" s="64"/>
      <c r="G37" s="64"/>
      <c r="H37" s="65"/>
      <c r="I37" s="64"/>
      <c r="J37" s="65"/>
      <c r="K37" s="67"/>
    </row>
    <row r="38" spans="1:11" ht="15" customHeight="1" x14ac:dyDescent="0.2">
      <c r="A38" s="61" t="s">
        <v>305</v>
      </c>
      <c r="B38" s="62"/>
      <c r="C38" s="63"/>
      <c r="D38" s="64"/>
      <c r="E38" s="64"/>
      <c r="F38" s="64"/>
      <c r="G38" s="64"/>
      <c r="H38" s="65"/>
      <c r="I38" s="64"/>
      <c r="J38" s="65"/>
      <c r="K38" s="67"/>
    </row>
    <row r="39" spans="1:11" ht="15" customHeight="1" x14ac:dyDescent="0.25">
      <c r="A39" s="87" t="s">
        <v>306</v>
      </c>
      <c r="B39" s="84">
        <f>'Atención Emergencias'!H25</f>
        <v>42984.06</v>
      </c>
      <c r="C39" s="84">
        <f>'Atención Emergencias'!I25</f>
        <v>0</v>
      </c>
      <c r="D39" s="84">
        <f>'Atención Emergencias'!J25</f>
        <v>42984.06</v>
      </c>
      <c r="E39" s="84">
        <f>'Atención Emergencias'!O25</f>
        <v>1840.1100000000019</v>
      </c>
      <c r="F39" s="68">
        <f>E39/D39</f>
        <v>4.2809125057056079E-2</v>
      </c>
      <c r="G39" s="84">
        <f>'Atención Emergencias'!Q25</f>
        <v>27359.45</v>
      </c>
      <c r="H39" s="68">
        <f>G39/D39</f>
        <v>0.63650222896580733</v>
      </c>
      <c r="I39" s="84">
        <f>'Atención Emergencias'!R25</f>
        <v>27359.45</v>
      </c>
      <c r="J39" s="68">
        <f>I39/D39</f>
        <v>0.63650222896580733</v>
      </c>
      <c r="K39" s="80">
        <f>'Atención Emergencias'!S25</f>
        <v>13784.5</v>
      </c>
    </row>
    <row r="40" spans="1:11" ht="15" customHeight="1" x14ac:dyDescent="0.2">
      <c r="A40" s="71" t="s">
        <v>290</v>
      </c>
      <c r="B40" s="62">
        <f>SUM(B39:B39)</f>
        <v>42984.06</v>
      </c>
      <c r="C40" s="62">
        <f>SUM(C39:C39)</f>
        <v>0</v>
      </c>
      <c r="D40" s="62">
        <f>SUM(D39:D39)</f>
        <v>42984.06</v>
      </c>
      <c r="E40" s="62">
        <f>SUM(E39:E39)</f>
        <v>1840.1100000000019</v>
      </c>
      <c r="F40" s="81">
        <f>E40/D40</f>
        <v>4.2809125057056079E-2</v>
      </c>
      <c r="G40" s="62">
        <f>SUM(G39:G39)</f>
        <v>27359.45</v>
      </c>
      <c r="H40" s="81">
        <f>G40/D40</f>
        <v>0.63650222896580733</v>
      </c>
      <c r="I40" s="62">
        <f>SUM(I39:I39)</f>
        <v>27359.45</v>
      </c>
      <c r="J40" s="81">
        <f>I40/D40</f>
        <v>0.63650222896580733</v>
      </c>
      <c r="K40" s="70">
        <f>SUM(K39:K39)</f>
        <v>13784.5</v>
      </c>
    </row>
    <row r="41" spans="1:11" ht="7.5" customHeight="1" x14ac:dyDescent="0.2">
      <c r="A41" s="71"/>
      <c r="B41" s="62"/>
      <c r="C41" s="62"/>
      <c r="D41" s="62"/>
      <c r="E41" s="62"/>
      <c r="F41" s="81"/>
      <c r="G41" s="62"/>
      <c r="H41" s="81"/>
      <c r="I41" s="62"/>
      <c r="J41" s="81"/>
      <c r="K41" s="70"/>
    </row>
    <row r="42" spans="1:11" ht="15" customHeight="1" x14ac:dyDescent="0.2">
      <c r="A42" s="61" t="s">
        <v>308</v>
      </c>
      <c r="B42" s="62"/>
      <c r="C42" s="62"/>
      <c r="D42" s="62"/>
      <c r="E42" s="62"/>
      <c r="F42" s="81"/>
      <c r="G42" s="62"/>
      <c r="H42" s="81"/>
      <c r="I42" s="62"/>
      <c r="J42" s="81"/>
      <c r="K42" s="70"/>
    </row>
    <row r="43" spans="1:11" ht="15" customHeight="1" x14ac:dyDescent="0.25">
      <c r="A43" s="87" t="s">
        <v>309</v>
      </c>
      <c r="B43" s="84">
        <f>'Fomento Produc.Territorial'!H18</f>
        <v>28000</v>
      </c>
      <c r="C43" s="84">
        <f>'Fomento Produc.Territorial'!I18</f>
        <v>-16600</v>
      </c>
      <c r="D43" s="84">
        <f>'Fomento Produc.Territorial'!J18</f>
        <v>11400</v>
      </c>
      <c r="E43" s="84">
        <f>'Fomento Produc.Territorial'!O18</f>
        <v>1.092459456231154E-13</v>
      </c>
      <c r="F43" s="68">
        <f>E43/D43</f>
        <v>9.5829776862381929E-18</v>
      </c>
      <c r="G43" s="84">
        <f>'Fomento Produc.Territorial'!Q18</f>
        <v>9479.58</v>
      </c>
      <c r="H43" s="68">
        <f>G43/D43</f>
        <v>0.83154210526315786</v>
      </c>
      <c r="I43" s="84">
        <f>'Fomento Produc.Territorial'!R18</f>
        <v>6487.78</v>
      </c>
      <c r="J43" s="68">
        <f>I43/D43</f>
        <v>0.56910350877192983</v>
      </c>
      <c r="K43" s="80">
        <f>'Fomento Produc.Territorial'!S18</f>
        <v>1920.4200000000005</v>
      </c>
    </row>
    <row r="44" spans="1:11" ht="15" customHeight="1" x14ac:dyDescent="0.2">
      <c r="A44" s="71" t="s">
        <v>307</v>
      </c>
      <c r="B44" s="62">
        <f>SUM(B43:B43)</f>
        <v>28000</v>
      </c>
      <c r="C44" s="62">
        <f t="shared" ref="C44:K44" si="14">SUM(C43:C43)</f>
        <v>-16600</v>
      </c>
      <c r="D44" s="62">
        <f t="shared" si="14"/>
        <v>11400</v>
      </c>
      <c r="E44" s="62">
        <f t="shared" si="14"/>
        <v>1.092459456231154E-13</v>
      </c>
      <c r="F44" s="81">
        <f>E44/D44</f>
        <v>9.5829776862381929E-18</v>
      </c>
      <c r="G44" s="62">
        <f t="shared" si="14"/>
        <v>9479.58</v>
      </c>
      <c r="H44" s="81">
        <f>G44/D44</f>
        <v>0.83154210526315786</v>
      </c>
      <c r="I44" s="62">
        <f t="shared" si="14"/>
        <v>6487.78</v>
      </c>
      <c r="J44" s="81">
        <f>I44/D44</f>
        <v>0.56910350877192983</v>
      </c>
      <c r="K44" s="70">
        <f t="shared" si="14"/>
        <v>1920.4200000000005</v>
      </c>
    </row>
    <row r="45" spans="1:11" ht="15" customHeight="1" x14ac:dyDescent="0.2">
      <c r="A45" s="110" t="s">
        <v>286</v>
      </c>
      <c r="B45" s="111">
        <f>B7+B14+B19+B23+B28+B32+B36+B40+B44</f>
        <v>2769538.23</v>
      </c>
      <c r="C45" s="111">
        <f t="shared" ref="C45:K45" si="15">C7+C14+C19+C23+C28+C32+C36+C40+C44</f>
        <v>-76642.400000000023</v>
      </c>
      <c r="D45" s="111">
        <f t="shared" si="15"/>
        <v>2690956.4799999995</v>
      </c>
      <c r="E45" s="111">
        <f>E7+E14+E19+E23+E28+E32+E36+E40+E44</f>
        <v>472035.77999999997</v>
      </c>
      <c r="F45" s="112">
        <f>E45/D45</f>
        <v>0.17541561281585649</v>
      </c>
      <c r="G45" s="111">
        <f t="shared" si="15"/>
        <v>1793563.6199999999</v>
      </c>
      <c r="H45" s="112">
        <f>G45/D45</f>
        <v>0.66651528307139329</v>
      </c>
      <c r="I45" s="111">
        <f>I7+I14+I19+I23+I28+I32+I36+I40+I44</f>
        <v>1248455.56</v>
      </c>
      <c r="J45" s="112">
        <f>I45/D45</f>
        <v>0.4639449092837058</v>
      </c>
      <c r="K45" s="111">
        <f t="shared" si="15"/>
        <v>425357.07999999996</v>
      </c>
    </row>
    <row r="46" spans="1:11" ht="10.5" customHeight="1" x14ac:dyDescent="0.2">
      <c r="A46" s="56"/>
      <c r="B46" s="56"/>
      <c r="C46" s="56"/>
      <c r="D46" s="57"/>
      <c r="E46" s="58"/>
      <c r="F46" s="58"/>
      <c r="G46" s="58"/>
      <c r="H46" s="59"/>
      <c r="I46" s="57"/>
      <c r="J46" s="59"/>
      <c r="K46" s="60"/>
    </row>
    <row r="47" spans="1:11" ht="24" customHeight="1" x14ac:dyDescent="0.2">
      <c r="A47" s="61" t="s">
        <v>287</v>
      </c>
      <c r="B47" s="62"/>
      <c r="C47" s="63"/>
      <c r="D47" s="64"/>
      <c r="E47" s="64"/>
      <c r="F47" s="64"/>
      <c r="G47" s="64"/>
      <c r="H47" s="65"/>
      <c r="I47" s="66"/>
      <c r="J47" s="65"/>
      <c r="K47" s="67"/>
    </row>
    <row r="48" spans="1:11" ht="15" customHeight="1" x14ac:dyDescent="0.25">
      <c r="A48" s="87" t="s">
        <v>288</v>
      </c>
      <c r="B48" s="93">
        <f>'Gast. Administrativo'!H61</f>
        <v>848315</v>
      </c>
      <c r="C48" s="93">
        <f>'Gast. Administrativo'!I61</f>
        <v>2.0463630789890885E-12</v>
      </c>
      <c r="D48" s="93">
        <f>'Gast. Administrativo'!J61</f>
        <v>848314.99999999988</v>
      </c>
      <c r="E48" s="66">
        <f>'Gast. Administrativo'!O61</f>
        <v>39626.869999999995</v>
      </c>
      <c r="F48" s="68">
        <f>+E48/D48</f>
        <v>4.6712447616746137E-2</v>
      </c>
      <c r="G48" s="66">
        <f>'Gast. Administrativo'!Q61</f>
        <v>727927.6399999999</v>
      </c>
      <c r="H48" s="69">
        <f>+G48/D48</f>
        <v>0.85808648909897856</v>
      </c>
      <c r="I48" s="66">
        <f>'Gast. Administrativo'!R61</f>
        <v>656154.15</v>
      </c>
      <c r="J48" s="69">
        <f>+I48/D48</f>
        <v>0.77347936792347194</v>
      </c>
      <c r="K48" s="70">
        <f>'Gast. Administrativo'!S61</f>
        <v>80760.49000000002</v>
      </c>
    </row>
    <row r="49" spans="1:11" ht="15" customHeight="1" x14ac:dyDescent="0.2">
      <c r="A49" s="56" t="s">
        <v>289</v>
      </c>
      <c r="B49" s="66">
        <v>2159416.81</v>
      </c>
      <c r="C49" s="66">
        <f>D49-B49</f>
        <v>-145964.54000000004</v>
      </c>
      <c r="D49" s="66">
        <v>2013452.27</v>
      </c>
      <c r="E49" s="66">
        <v>38808.68</v>
      </c>
      <c r="F49" s="68">
        <f>+E49/D49</f>
        <v>1.9274695794005585E-2</v>
      </c>
      <c r="G49" s="66">
        <v>1804043.29</v>
      </c>
      <c r="H49" s="69">
        <f>+G49/D49</f>
        <v>0.89599506125864115</v>
      </c>
      <c r="I49" s="66">
        <v>1804043.28</v>
      </c>
      <c r="J49" s="69">
        <f>+I49/D49</f>
        <v>0.89599505629204712</v>
      </c>
      <c r="K49" s="70">
        <f>+D49-E49-G49</f>
        <v>170600.30000000005</v>
      </c>
    </row>
    <row r="50" spans="1:11" ht="15" customHeight="1" x14ac:dyDescent="0.2">
      <c r="A50" s="71" t="s">
        <v>290</v>
      </c>
      <c r="B50" s="62">
        <f>SUM(B48:B49)</f>
        <v>3007731.81</v>
      </c>
      <c r="C50" s="72">
        <f>SUM(C48:C49)</f>
        <v>-145964.54000000004</v>
      </c>
      <c r="D50" s="72">
        <f>SUM(D48:D49)</f>
        <v>2861767.27</v>
      </c>
      <c r="E50" s="72">
        <f>SUM(E48:E49)</f>
        <v>78435.549999999988</v>
      </c>
      <c r="F50" s="73">
        <f>+E50/D50</f>
        <v>2.7408081300755106E-2</v>
      </c>
      <c r="G50" s="72">
        <f t="shared" ref="G50" si="16">SUM(G48:G49)</f>
        <v>2531970.9299999997</v>
      </c>
      <c r="H50" s="73">
        <f>+G50/D50</f>
        <v>0.88475780561988171</v>
      </c>
      <c r="I50" s="72">
        <f>SUM(I48:I49)</f>
        <v>2460197.4300000002</v>
      </c>
      <c r="J50" s="73">
        <f>+I50/D50</f>
        <v>0.85967767392908934</v>
      </c>
      <c r="K50" s="70">
        <f>+D50-E50-G50</f>
        <v>251360.7900000005</v>
      </c>
    </row>
    <row r="51" spans="1:11" s="1" customFormat="1" ht="15" x14ac:dyDescent="0.25">
      <c r="A51" s="113" t="s">
        <v>291</v>
      </c>
      <c r="B51" s="114">
        <f>+B45+B50</f>
        <v>5777270.04</v>
      </c>
      <c r="C51" s="114">
        <f>+C45+C50</f>
        <v>-222606.94000000006</v>
      </c>
      <c r="D51" s="114">
        <f>+D45+D50</f>
        <v>5552723.75</v>
      </c>
      <c r="E51" s="114">
        <f>+E45+E50</f>
        <v>550471.32999999996</v>
      </c>
      <c r="F51" s="115">
        <f>+E51/D51</f>
        <v>9.9135371177073231E-2</v>
      </c>
      <c r="G51" s="114">
        <f>+G45+G50</f>
        <v>4325534.55</v>
      </c>
      <c r="H51" s="116">
        <f>+G51/D51</f>
        <v>0.77899329135543616</v>
      </c>
      <c r="I51" s="114">
        <f>+I45+I50</f>
        <v>3708652.99</v>
      </c>
      <c r="J51" s="116">
        <f>+I51/D51</f>
        <v>0.66789798249912946</v>
      </c>
      <c r="K51" s="114">
        <f>+K45+K50</f>
        <v>676717.87000000046</v>
      </c>
    </row>
    <row r="52" spans="1:11" x14ac:dyDescent="0.2">
      <c r="A52" s="74"/>
      <c r="B52" s="74"/>
      <c r="C52" s="74"/>
      <c r="D52" s="74"/>
      <c r="E52" s="74"/>
      <c r="F52" s="74"/>
      <c r="G52" s="74"/>
      <c r="H52" s="74"/>
      <c r="I52" s="74"/>
      <c r="J52" s="74"/>
      <c r="K52" s="74"/>
    </row>
  </sheetData>
  <hyperlinks>
    <hyperlink ref="A27" location="Sist.Integral.Promoc.Salud!A1" display="2. SISTEMA INTEGRAL DE PROMOCIÓN DE LA SALUD"/>
    <hyperlink ref="A6" location="'Pres. Participat'!A1" display="2. PRESUPUESTOS PARTICIPATIVOS"/>
    <hyperlink ref="A39" location="'Atención Emergencias'!A1" display="1. ATENCIÓN DE EMERGENCIA EN EL DMQ"/>
    <hyperlink ref="A35" location="Prevenc.Situac.Conv.Pacífica!A1" display="1. PREVENCIÓN SITUACIONAL Y CONVIVENCIA PACIFICA"/>
    <hyperlink ref="A26" location="'Segur.Aliment Calidad'!A1" display="1. SEGURIDAD ALIMENTARIA Y DE CALIDAD"/>
    <hyperlink ref="A22" location="'Promoc. Derech Grup Atención'!A1" display="1. PROMOCIÓN DE DERECHOS DE GRUPOS DE ATEN"/>
    <hyperlink ref="A17" location="'Agenda Cult.Metrop.'!A1" display="1. AGENDA CULTURAL METROPOLITANA"/>
    <hyperlink ref="A10" location="'Somos Quito'!A1" display="1. SOMOS QUITO"/>
    <hyperlink ref="A5" location="Infraest.Comunitaria!A1" display="1. INFRAESTRUCTURA COMUNITARIA"/>
    <hyperlink ref="A18" location="'Territorio y Cultura'!A1" display="2. TERRITORIO Y CULTURA"/>
    <hyperlink ref="A43" location="'Fomento Produc.Territorial'!A1" display="1. FOMENTO PRODUCTIVO TERRITORIAL"/>
    <hyperlink ref="A11" location="'Sist. Particip. Ciudadana'!A1" display="2. SISTEMA DE PARTICIPACIÓN CIUDADANA"/>
    <hyperlink ref="A12" location="'Volunt.Quito Acción'!A1" display="3. VOLUNTARIADO QUITO ACCIÓN"/>
    <hyperlink ref="A13" location="'Colonias Vacacionales'!A1" display="4. COLONIAS VACACIONALES "/>
    <hyperlink ref="A31" location="'Manej.Fauna Urbana'!A1" display="1. MANEJO DE FAUNA URBANA"/>
    <hyperlink ref="A48" location="'Gast. Administrativo'!A1" display="1.GASTOS ADMINISTRATIVOS"/>
  </hyperlinks>
  <pageMargins left="0.9055118110236221" right="0" top="0.55118110236220474" bottom="0.19685039370078741" header="0.31496062992125984" footer="0.31496062992125984"/>
  <pageSetup scale="7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S9"/>
  <sheetViews>
    <sheetView workbookViewId="0">
      <selection activeCell="A16" sqref="A16"/>
    </sheetView>
  </sheetViews>
  <sheetFormatPr baseColWidth="10" defaultRowHeight="11.25" x14ac:dyDescent="0.2"/>
  <cols>
    <col min="1" max="1" width="21" style="5" customWidth="1"/>
    <col min="2" max="4" width="11.42578125" style="5"/>
    <col min="5" max="5" width="9.85546875" style="5" hidden="1" customWidth="1"/>
    <col min="6" max="6" width="0" style="5" hidden="1" customWidth="1"/>
    <col min="7" max="7" width="11.42578125" style="5"/>
    <col min="8" max="8" width="11.42578125" style="23"/>
    <col min="9" max="9" width="8.85546875" style="23" customWidth="1"/>
    <col min="10" max="10" width="11.42578125" style="23"/>
    <col min="11" max="11" width="11.28515625" style="5" customWidth="1"/>
    <col min="12" max="12" width="16.7109375" style="5" customWidth="1"/>
    <col min="13" max="13" width="14.42578125" style="5" customWidth="1"/>
    <col min="14" max="14" width="11.42578125" style="5"/>
    <col min="15" max="15" width="8.85546875" style="5" customWidth="1"/>
    <col min="16" max="16" width="14.140625" style="5" customWidth="1"/>
    <col min="17" max="17" width="11.85546875" style="5" customWidth="1"/>
    <col min="18" max="18" width="7.42578125" style="5" customWidth="1"/>
    <col min="19" max="16384" width="11.42578125" style="5"/>
  </cols>
  <sheetData>
    <row r="1" spans="1:19" s="36" customFormat="1" ht="12.75" x14ac:dyDescent="0.2">
      <c r="A1" s="34" t="s">
        <v>146</v>
      </c>
      <c r="B1" s="34" t="s">
        <v>7</v>
      </c>
      <c r="C1" s="35"/>
      <c r="D1" s="35"/>
      <c r="E1" s="35"/>
      <c r="F1" s="35"/>
      <c r="G1" s="35"/>
      <c r="H1" s="39"/>
      <c r="I1" s="40"/>
      <c r="J1" s="40"/>
    </row>
    <row r="2" spans="1:19" s="36" customFormat="1" ht="12.75" x14ac:dyDescent="0.2">
      <c r="A2" s="34" t="s">
        <v>147</v>
      </c>
      <c r="B2" s="34" t="s">
        <v>11</v>
      </c>
      <c r="C2" s="34"/>
      <c r="H2" s="40"/>
      <c r="I2" s="40"/>
      <c r="J2" s="40"/>
    </row>
    <row r="3" spans="1:19" ht="6" customHeight="1" x14ac:dyDescent="0.2">
      <c r="A3" s="14"/>
      <c r="B3" s="14"/>
      <c r="C3" s="14"/>
    </row>
    <row r="4" spans="1:19" ht="35.25" customHeight="1" x14ac:dyDescent="0.2">
      <c r="A4" s="2" t="s">
        <v>0</v>
      </c>
      <c r="B4" s="2" t="s">
        <v>1</v>
      </c>
      <c r="C4" s="3" t="s">
        <v>2</v>
      </c>
      <c r="D4" s="3" t="s">
        <v>3</v>
      </c>
      <c r="E4" s="3" t="s">
        <v>4</v>
      </c>
      <c r="F4" s="3" t="s">
        <v>5</v>
      </c>
      <c r="G4" s="4" t="s">
        <v>6</v>
      </c>
      <c r="H4" s="24" t="s">
        <v>169</v>
      </c>
      <c r="I4" s="16" t="s">
        <v>154</v>
      </c>
      <c r="J4" s="16" t="s">
        <v>155</v>
      </c>
      <c r="K4" s="16" t="s">
        <v>156</v>
      </c>
      <c r="L4" s="16" t="s">
        <v>157</v>
      </c>
      <c r="M4" s="16" t="s">
        <v>158</v>
      </c>
      <c r="N4" s="16" t="s">
        <v>159</v>
      </c>
      <c r="O4" s="16" t="s">
        <v>160</v>
      </c>
      <c r="P4" s="16" t="s">
        <v>161</v>
      </c>
      <c r="Q4" s="16" t="s">
        <v>162</v>
      </c>
      <c r="R4" s="16" t="s">
        <v>163</v>
      </c>
      <c r="S4" s="16" t="s">
        <v>164</v>
      </c>
    </row>
    <row r="5" spans="1:19" ht="123.75" x14ac:dyDescent="0.2">
      <c r="A5" s="7" t="s">
        <v>121</v>
      </c>
      <c r="B5" s="6" t="s">
        <v>12</v>
      </c>
      <c r="C5" s="37" t="s">
        <v>10</v>
      </c>
      <c r="D5" s="10" t="s">
        <v>207</v>
      </c>
      <c r="E5" s="11">
        <v>44197</v>
      </c>
      <c r="F5" s="11">
        <v>44561</v>
      </c>
      <c r="G5" s="9">
        <v>730249</v>
      </c>
      <c r="H5" s="42">
        <v>3000</v>
      </c>
      <c r="I5" s="44"/>
      <c r="J5" s="47">
        <f>H5+I5</f>
        <v>3000</v>
      </c>
      <c r="K5" s="18"/>
      <c r="L5" s="18"/>
      <c r="M5" s="18"/>
      <c r="N5" s="18"/>
      <c r="O5" s="18"/>
      <c r="P5" s="18"/>
      <c r="Q5" s="18"/>
      <c r="R5" s="18"/>
      <c r="S5" s="33">
        <f>J5-O5-Q5</f>
        <v>3000</v>
      </c>
    </row>
    <row r="6" spans="1:19" x14ac:dyDescent="0.2">
      <c r="A6" s="220"/>
      <c r="B6" s="220"/>
      <c r="C6" s="220"/>
      <c r="D6" s="220"/>
      <c r="E6" s="220"/>
      <c r="F6" s="220"/>
      <c r="G6" s="221"/>
      <c r="H6" s="19">
        <f>SUM(H3:H5)</f>
        <v>3000</v>
      </c>
      <c r="I6" s="19">
        <f t="shared" ref="I6:J6" si="0">SUM(I3:I5)</f>
        <v>0</v>
      </c>
      <c r="J6" s="19">
        <f t="shared" si="0"/>
        <v>3000</v>
      </c>
      <c r="K6" s="205"/>
      <c r="L6" s="206"/>
      <c r="M6" s="206"/>
      <c r="N6" s="207"/>
      <c r="O6" s="19">
        <f t="shared" ref="O6" si="1">SUM(O3:O5)</f>
        <v>0</v>
      </c>
      <c r="P6" s="19"/>
      <c r="Q6" s="19">
        <f t="shared" ref="Q6" si="2">SUM(Q3:Q5)</f>
        <v>0</v>
      </c>
      <c r="R6" s="19">
        <f t="shared" ref="R6" si="3">SUM(R3:R5)</f>
        <v>0</v>
      </c>
      <c r="S6" s="19">
        <f t="shared" ref="S6" si="4">SUM(S3:S5)</f>
        <v>3000</v>
      </c>
    </row>
    <row r="7" spans="1:19" x14ac:dyDescent="0.2">
      <c r="A7" s="203"/>
      <c r="B7" s="203"/>
      <c r="C7" s="203"/>
      <c r="D7" s="203"/>
      <c r="E7" s="203"/>
      <c r="F7" s="203"/>
      <c r="G7" s="204"/>
      <c r="H7" s="26">
        <f>+H6</f>
        <v>3000</v>
      </c>
      <c r="I7" s="26">
        <f t="shared" ref="I7:J7" si="5">+I6</f>
        <v>0</v>
      </c>
      <c r="J7" s="26">
        <f t="shared" si="5"/>
        <v>3000</v>
      </c>
      <c r="K7" s="208"/>
      <c r="L7" s="209"/>
      <c r="M7" s="209"/>
      <c r="N7" s="210"/>
      <c r="O7" s="26">
        <f t="shared" ref="O7" si="6">+O6</f>
        <v>0</v>
      </c>
      <c r="P7" s="26"/>
      <c r="Q7" s="26">
        <f t="shared" ref="Q7" si="7">+Q6</f>
        <v>0</v>
      </c>
      <c r="R7" s="26">
        <f t="shared" ref="R7" si="8">+R6</f>
        <v>0</v>
      </c>
      <c r="S7" s="26">
        <f t="shared" ref="S7" si="9">+S6</f>
        <v>3000</v>
      </c>
    </row>
    <row r="9" spans="1:19" ht="12.75" x14ac:dyDescent="0.2">
      <c r="R9" s="92" t="s">
        <v>310</v>
      </c>
      <c r="S9" s="91"/>
    </row>
  </sheetData>
  <mergeCells count="4">
    <mergeCell ref="A6:G6"/>
    <mergeCell ref="K6:N6"/>
    <mergeCell ref="A7:G7"/>
    <mergeCell ref="K7:N7"/>
  </mergeCells>
  <pageMargins left="0.31496062992125984" right="0" top="0.55118110236220474" bottom="0.15748031496062992" header="0.31496062992125984" footer="0.31496062992125984"/>
  <pageSetup scale="65"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S17"/>
  <sheetViews>
    <sheetView topLeftCell="G1" workbookViewId="0">
      <selection activeCell="R1" sqref="R1"/>
    </sheetView>
  </sheetViews>
  <sheetFormatPr baseColWidth="10" defaultRowHeight="11.25" x14ac:dyDescent="0.2"/>
  <cols>
    <col min="1" max="1" width="17.42578125" style="5" customWidth="1"/>
    <col min="2" max="2" width="12.140625" style="5" customWidth="1"/>
    <col min="3" max="3" width="9.42578125" style="5" customWidth="1"/>
    <col min="4" max="4" width="24" style="5" customWidth="1"/>
    <col min="5" max="5" width="7.28515625" style="5" hidden="1" customWidth="1"/>
    <col min="6" max="6" width="8.42578125" style="5" hidden="1" customWidth="1"/>
    <col min="7" max="7" width="9" style="5" customWidth="1"/>
    <col min="8" max="8" width="11.42578125" style="23"/>
    <col min="9" max="9" width="8.85546875" style="23" customWidth="1"/>
    <col min="10" max="10" width="10" style="23" customWidth="1"/>
    <col min="11" max="11" width="13.140625" style="5" customWidth="1"/>
    <col min="12" max="12" width="14.42578125" style="5" customWidth="1"/>
    <col min="13" max="13" width="13.5703125" style="5" customWidth="1"/>
    <col min="14" max="14" width="11.42578125" style="5"/>
    <col min="15" max="15" width="9.7109375" style="5" customWidth="1"/>
    <col min="16" max="16" width="10.7109375" style="5" customWidth="1"/>
    <col min="17" max="17" width="10.140625" style="23" customWidth="1"/>
    <col min="18" max="18" width="9.140625" style="5" customWidth="1"/>
    <col min="19" max="16384" width="11.42578125" style="5"/>
  </cols>
  <sheetData>
    <row r="1" spans="1:19" s="36" customFormat="1" ht="12.75" x14ac:dyDescent="0.2">
      <c r="A1" s="34" t="s">
        <v>146</v>
      </c>
      <c r="B1" s="34" t="s">
        <v>103</v>
      </c>
      <c r="C1" s="35"/>
      <c r="D1" s="35"/>
      <c r="E1" s="35"/>
      <c r="F1" s="35"/>
      <c r="G1" s="35"/>
      <c r="H1" s="39"/>
      <c r="I1" s="40"/>
      <c r="J1" s="40"/>
      <c r="Q1" s="40"/>
    </row>
    <row r="2" spans="1:19" s="36" customFormat="1" ht="12.75" x14ac:dyDescent="0.2">
      <c r="A2" s="34" t="s">
        <v>147</v>
      </c>
      <c r="B2" s="34" t="s">
        <v>150</v>
      </c>
      <c r="C2" s="34"/>
      <c r="H2" s="40"/>
      <c r="I2" s="40"/>
      <c r="J2" s="40"/>
      <c r="Q2" s="40"/>
    </row>
    <row r="3" spans="1:19" ht="8.25" customHeight="1" x14ac:dyDescent="0.2">
      <c r="A3" s="14"/>
      <c r="B3" s="14"/>
      <c r="C3" s="14"/>
    </row>
    <row r="4" spans="1:19" ht="42" customHeight="1" x14ac:dyDescent="0.2">
      <c r="A4" s="2" t="s">
        <v>0</v>
      </c>
      <c r="B4" s="2" t="s">
        <v>1</v>
      </c>
      <c r="C4" s="3" t="s">
        <v>2</v>
      </c>
      <c r="D4" s="3" t="s">
        <v>3</v>
      </c>
      <c r="E4" s="3" t="s">
        <v>4</v>
      </c>
      <c r="F4" s="3" t="s">
        <v>5</v>
      </c>
      <c r="G4" s="4" t="s">
        <v>6</v>
      </c>
      <c r="H4" s="24" t="s">
        <v>169</v>
      </c>
      <c r="I4" s="16" t="s">
        <v>154</v>
      </c>
      <c r="J4" s="16" t="s">
        <v>155</v>
      </c>
      <c r="K4" s="16" t="s">
        <v>156</v>
      </c>
      <c r="L4" s="16" t="s">
        <v>157</v>
      </c>
      <c r="M4" s="16" t="s">
        <v>158</v>
      </c>
      <c r="N4" s="16" t="s">
        <v>159</v>
      </c>
      <c r="O4" s="16" t="s">
        <v>160</v>
      </c>
      <c r="P4" s="31" t="s">
        <v>161</v>
      </c>
      <c r="Q4" s="31" t="s">
        <v>162</v>
      </c>
      <c r="R4" s="16" t="s">
        <v>163</v>
      </c>
      <c r="S4" s="16" t="s">
        <v>164</v>
      </c>
    </row>
    <row r="5" spans="1:19" ht="105" customHeight="1" x14ac:dyDescent="0.2">
      <c r="A5" s="234" t="s">
        <v>135</v>
      </c>
      <c r="B5" s="212" t="s">
        <v>104</v>
      </c>
      <c r="C5" s="37" t="s">
        <v>10</v>
      </c>
      <c r="D5" s="10" t="s">
        <v>208</v>
      </c>
      <c r="E5" s="11">
        <v>44197</v>
      </c>
      <c r="F5" s="11">
        <v>44561</v>
      </c>
      <c r="G5" s="8"/>
      <c r="H5" s="48"/>
      <c r="I5" s="44"/>
      <c r="J5" s="44"/>
      <c r="K5" s="18"/>
      <c r="L5" s="18"/>
      <c r="M5" s="18"/>
      <c r="N5" s="18"/>
      <c r="O5" s="18"/>
      <c r="P5" s="18"/>
      <c r="Q5" s="44"/>
      <c r="R5" s="18"/>
      <c r="S5" s="18"/>
    </row>
    <row r="6" spans="1:19" ht="81" customHeight="1" x14ac:dyDescent="0.2">
      <c r="A6" s="234"/>
      <c r="B6" s="212"/>
      <c r="C6" s="231" t="s">
        <v>10</v>
      </c>
      <c r="D6" s="10" t="s">
        <v>209</v>
      </c>
      <c r="E6" s="11">
        <v>44256</v>
      </c>
      <c r="F6" s="11">
        <v>44561</v>
      </c>
      <c r="G6" s="9">
        <v>730249</v>
      </c>
      <c r="H6" s="49">
        <v>2300</v>
      </c>
      <c r="I6" s="49"/>
      <c r="J6" s="47">
        <f>H6+I6</f>
        <v>2300</v>
      </c>
      <c r="K6" s="18"/>
      <c r="L6" s="18"/>
      <c r="M6" s="18"/>
      <c r="N6" s="18"/>
      <c r="O6" s="18"/>
      <c r="P6" s="18"/>
      <c r="Q6" s="44"/>
      <c r="R6" s="18"/>
      <c r="S6" s="33">
        <f>J6-O6-Q6</f>
        <v>2300</v>
      </c>
    </row>
    <row r="7" spans="1:19" x14ac:dyDescent="0.2">
      <c r="A7" s="234"/>
      <c r="B7" s="212"/>
      <c r="C7" s="232"/>
      <c r="D7" s="214" t="s">
        <v>210</v>
      </c>
      <c r="E7" s="202">
        <v>44256</v>
      </c>
      <c r="F7" s="202">
        <v>44561</v>
      </c>
      <c r="G7" s="9">
        <v>730613</v>
      </c>
      <c r="H7" s="49">
        <v>4000</v>
      </c>
      <c r="I7" s="49"/>
      <c r="J7" s="47">
        <f t="shared" ref="J7:J9" si="0">H7+I7</f>
        <v>4000</v>
      </c>
      <c r="K7" s="18" t="s">
        <v>460</v>
      </c>
      <c r="L7" s="18" t="s">
        <v>392</v>
      </c>
      <c r="M7" s="124">
        <v>44385</v>
      </c>
      <c r="N7" s="122" t="s">
        <v>393</v>
      </c>
      <c r="O7" s="44">
        <f>3991.5-2482.08-1509.42</f>
        <v>0</v>
      </c>
      <c r="P7" s="18">
        <v>5400003229</v>
      </c>
      <c r="Q7" s="44">
        <v>2482.08</v>
      </c>
      <c r="R7" s="18">
        <v>797.76</v>
      </c>
      <c r="S7" s="33">
        <f t="shared" ref="S7:S9" si="1">J7-O7-Q7</f>
        <v>1517.92</v>
      </c>
    </row>
    <row r="8" spans="1:19" x14ac:dyDescent="0.2">
      <c r="A8" s="234"/>
      <c r="B8" s="212"/>
      <c r="C8" s="232"/>
      <c r="D8" s="214"/>
      <c r="E8" s="202"/>
      <c r="F8" s="202"/>
      <c r="G8" s="9">
        <v>730812</v>
      </c>
      <c r="H8" s="49">
        <v>3225</v>
      </c>
      <c r="I8" s="49"/>
      <c r="J8" s="47">
        <f t="shared" si="0"/>
        <v>3225</v>
      </c>
      <c r="K8" s="18"/>
      <c r="L8" s="18"/>
      <c r="M8" s="18"/>
      <c r="N8" s="18"/>
      <c r="O8" s="18"/>
      <c r="P8" s="18"/>
      <c r="Q8" s="44"/>
      <c r="R8" s="18"/>
      <c r="S8" s="33">
        <f t="shared" si="1"/>
        <v>3225</v>
      </c>
    </row>
    <row r="9" spans="1:19" x14ac:dyDescent="0.2">
      <c r="A9" s="234"/>
      <c r="B9" s="212"/>
      <c r="C9" s="240"/>
      <c r="D9" s="214"/>
      <c r="E9" s="202"/>
      <c r="F9" s="202"/>
      <c r="G9" s="9">
        <v>730235</v>
      </c>
      <c r="H9" s="49">
        <v>3225</v>
      </c>
      <c r="I9" s="49"/>
      <c r="J9" s="47">
        <f t="shared" si="0"/>
        <v>3225</v>
      </c>
      <c r="K9" s="18"/>
      <c r="L9" s="18"/>
      <c r="M9" s="18"/>
      <c r="N9" s="18"/>
      <c r="O9" s="18"/>
      <c r="P9" s="18"/>
      <c r="Q9" s="44"/>
      <c r="R9" s="18"/>
      <c r="S9" s="33">
        <f t="shared" si="1"/>
        <v>3225</v>
      </c>
    </row>
    <row r="10" spans="1:19" ht="33.75" x14ac:dyDescent="0.2">
      <c r="A10" s="234" t="s">
        <v>136</v>
      </c>
      <c r="B10" s="212" t="s">
        <v>105</v>
      </c>
      <c r="C10" s="37" t="s">
        <v>10</v>
      </c>
      <c r="D10" s="10" t="s">
        <v>211</v>
      </c>
      <c r="E10" s="11">
        <v>44197</v>
      </c>
      <c r="F10" s="11">
        <v>44561</v>
      </c>
      <c r="G10" s="8"/>
      <c r="H10" s="48"/>
      <c r="I10" s="44"/>
      <c r="J10" s="44"/>
      <c r="K10" s="18"/>
      <c r="L10" s="18"/>
      <c r="M10" s="18"/>
      <c r="N10" s="18"/>
      <c r="O10" s="18"/>
      <c r="P10" s="18"/>
      <c r="Q10" s="44"/>
      <c r="R10" s="18"/>
      <c r="S10" s="18"/>
    </row>
    <row r="11" spans="1:19" ht="62.25" customHeight="1" x14ac:dyDescent="0.2">
      <c r="A11" s="234"/>
      <c r="B11" s="212"/>
      <c r="C11" s="18"/>
      <c r="D11" s="10" t="s">
        <v>212</v>
      </c>
      <c r="E11" s="11">
        <v>44256</v>
      </c>
      <c r="F11" s="11">
        <v>44530</v>
      </c>
      <c r="G11" s="8"/>
      <c r="H11" s="48"/>
      <c r="I11" s="44"/>
      <c r="J11" s="44"/>
      <c r="K11" s="18"/>
      <c r="L11" s="18"/>
      <c r="M11" s="18"/>
      <c r="N11" s="18"/>
      <c r="O11" s="18"/>
      <c r="P11" s="18"/>
      <c r="Q11" s="44"/>
      <c r="R11" s="18"/>
      <c r="S11" s="18"/>
    </row>
    <row r="12" spans="1:19" ht="65.25" customHeight="1" x14ac:dyDescent="0.2">
      <c r="A12" s="234"/>
      <c r="B12" s="212"/>
      <c r="C12" s="18"/>
      <c r="D12" s="10" t="s">
        <v>213</v>
      </c>
      <c r="E12" s="11">
        <v>44256</v>
      </c>
      <c r="F12" s="11">
        <v>44530</v>
      </c>
      <c r="G12" s="8"/>
      <c r="H12" s="48"/>
      <c r="I12" s="44"/>
      <c r="J12" s="44"/>
      <c r="K12" s="18"/>
      <c r="L12" s="18"/>
      <c r="M12" s="18"/>
      <c r="N12" s="18"/>
      <c r="O12" s="18"/>
      <c r="P12" s="18"/>
      <c r="Q12" s="44"/>
      <c r="R12" s="18"/>
      <c r="S12" s="18"/>
    </row>
    <row r="13" spans="1:19" ht="67.5" customHeight="1" x14ac:dyDescent="0.2">
      <c r="A13" s="234"/>
      <c r="B13" s="212"/>
      <c r="C13" s="18"/>
      <c r="D13" s="10" t="s">
        <v>214</v>
      </c>
      <c r="E13" s="11">
        <v>44256</v>
      </c>
      <c r="F13" s="11">
        <v>44530</v>
      </c>
      <c r="G13" s="8"/>
      <c r="H13" s="48"/>
      <c r="I13" s="44"/>
      <c r="J13" s="44"/>
      <c r="K13" s="18"/>
      <c r="L13" s="18"/>
      <c r="M13" s="18"/>
      <c r="N13" s="18"/>
      <c r="O13" s="18"/>
      <c r="P13" s="18"/>
      <c r="Q13" s="44"/>
      <c r="R13" s="18"/>
      <c r="S13" s="18"/>
    </row>
    <row r="14" spans="1:19" x14ac:dyDescent="0.2">
      <c r="A14" s="220"/>
      <c r="B14" s="220"/>
      <c r="C14" s="220"/>
      <c r="D14" s="220"/>
      <c r="E14" s="220"/>
      <c r="F14" s="220"/>
      <c r="G14" s="221"/>
      <c r="H14" s="19">
        <f>SUM(H5:H13)</f>
        <v>12750</v>
      </c>
      <c r="I14" s="19">
        <f t="shared" ref="I14:J14" si="2">SUM(I5:I13)</f>
        <v>0</v>
      </c>
      <c r="J14" s="19">
        <f t="shared" si="2"/>
        <v>12750</v>
      </c>
      <c r="K14" s="205"/>
      <c r="L14" s="206"/>
      <c r="M14" s="206"/>
      <c r="N14" s="207"/>
      <c r="O14" s="19">
        <f t="shared" ref="O14" si="3">SUM(O5:O13)</f>
        <v>0</v>
      </c>
      <c r="P14" s="19"/>
      <c r="Q14" s="19">
        <f t="shared" ref="Q14" si="4">SUM(Q5:Q13)</f>
        <v>2482.08</v>
      </c>
      <c r="R14" s="19">
        <f t="shared" ref="R14" si="5">SUM(R5:R13)</f>
        <v>797.76</v>
      </c>
      <c r="S14" s="19">
        <f t="shared" ref="S14" si="6">SUM(S5:S13)</f>
        <v>10267.92</v>
      </c>
    </row>
    <row r="15" spans="1:19" x14ac:dyDescent="0.2">
      <c r="A15" s="203"/>
      <c r="B15" s="203"/>
      <c r="C15" s="203"/>
      <c r="D15" s="203"/>
      <c r="E15" s="203"/>
      <c r="F15" s="203"/>
      <c r="G15" s="204"/>
      <c r="H15" s="26">
        <f>+H14</f>
        <v>12750</v>
      </c>
      <c r="I15" s="26">
        <f t="shared" ref="I15:J15" si="7">+I14</f>
        <v>0</v>
      </c>
      <c r="J15" s="26">
        <f t="shared" si="7"/>
        <v>12750</v>
      </c>
      <c r="K15" s="208"/>
      <c r="L15" s="209"/>
      <c r="M15" s="209"/>
      <c r="N15" s="210"/>
      <c r="O15" s="26">
        <f t="shared" ref="O15" si="8">+O14</f>
        <v>0</v>
      </c>
      <c r="P15" s="26"/>
      <c r="Q15" s="26">
        <f t="shared" ref="Q15" si="9">+Q14</f>
        <v>2482.08</v>
      </c>
      <c r="R15" s="26">
        <f t="shared" ref="R15" si="10">+R14</f>
        <v>797.76</v>
      </c>
      <c r="S15" s="26">
        <f t="shared" ref="S15" si="11">+S14</f>
        <v>10267.92</v>
      </c>
    </row>
    <row r="17" spans="18:19" ht="12.75" x14ac:dyDescent="0.2">
      <c r="R17" s="92" t="s">
        <v>310</v>
      </c>
      <c r="S17" s="91"/>
    </row>
  </sheetData>
  <mergeCells count="12">
    <mergeCell ref="A14:G14"/>
    <mergeCell ref="K14:N14"/>
    <mergeCell ref="A15:G15"/>
    <mergeCell ref="K15:N15"/>
    <mergeCell ref="A5:A9"/>
    <mergeCell ref="B5:B9"/>
    <mergeCell ref="D7:D9"/>
    <mergeCell ref="E7:E9"/>
    <mergeCell ref="F7:F9"/>
    <mergeCell ref="A10:A13"/>
    <mergeCell ref="B10:B13"/>
    <mergeCell ref="C6:C9"/>
  </mergeCells>
  <pageMargins left="0.31496062992125984" right="0" top="0.55118110236220474" bottom="0.15748031496062992" header="0.31496062992125984" footer="0.31496062992125984"/>
  <pageSetup scale="6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21"/>
  <sheetViews>
    <sheetView workbookViewId="0">
      <selection activeCell="J22" sqref="J22"/>
    </sheetView>
  </sheetViews>
  <sheetFormatPr baseColWidth="10" defaultRowHeight="11.25" x14ac:dyDescent="0.2"/>
  <cols>
    <col min="1" max="1" width="24.28515625" style="5" customWidth="1"/>
    <col min="2" max="2" width="16.7109375" style="5" customWidth="1"/>
    <col min="3" max="3" width="5.7109375" style="5" customWidth="1"/>
    <col min="4" max="4" width="20.7109375" style="5" customWidth="1"/>
    <col min="5" max="5" width="7" style="5" hidden="1" customWidth="1"/>
    <col min="6" max="6" width="8.85546875" style="5" hidden="1" customWidth="1"/>
    <col min="7" max="7" width="11.42578125" style="5"/>
    <col min="8" max="9" width="11.42578125" style="23"/>
    <col min="10" max="10" width="10" style="23" customWidth="1"/>
    <col min="11" max="11" width="11.42578125" style="5"/>
    <col min="12" max="12" width="14.28515625" style="5" customWidth="1"/>
    <col min="13" max="13" width="10.85546875" style="5" customWidth="1"/>
    <col min="14" max="15" width="11.42578125" style="5"/>
    <col min="16" max="16" width="13.85546875" style="5" customWidth="1"/>
    <col min="17" max="17" width="10.5703125" style="23" customWidth="1"/>
    <col min="18" max="18" width="11.42578125" style="23"/>
    <col min="19" max="19" width="10.85546875" style="5" customWidth="1"/>
    <col min="20" max="16384" width="11.42578125" style="5"/>
  </cols>
  <sheetData>
    <row r="1" spans="1:19" s="36" customFormat="1" ht="12.75" x14ac:dyDescent="0.2">
      <c r="A1" s="34" t="s">
        <v>146</v>
      </c>
      <c r="B1" s="34" t="s">
        <v>106</v>
      </c>
      <c r="C1" s="35"/>
      <c r="D1" s="35"/>
      <c r="E1" s="35"/>
      <c r="F1" s="35"/>
      <c r="G1" s="35"/>
      <c r="H1" s="39"/>
      <c r="I1" s="40"/>
      <c r="J1" s="40"/>
      <c r="Q1" s="40"/>
      <c r="R1" s="40"/>
    </row>
    <row r="2" spans="1:19" s="36" customFormat="1" ht="12.75" x14ac:dyDescent="0.2">
      <c r="A2" s="34" t="s">
        <v>147</v>
      </c>
      <c r="B2" s="34" t="s">
        <v>107</v>
      </c>
      <c r="C2" s="34"/>
      <c r="D2" s="34"/>
      <c r="H2" s="40"/>
      <c r="I2" s="40"/>
      <c r="J2" s="40"/>
      <c r="K2" s="120"/>
      <c r="Q2" s="40"/>
      <c r="R2" s="40"/>
    </row>
    <row r="3" spans="1:19" ht="6.75" customHeight="1" x14ac:dyDescent="0.2">
      <c r="A3" s="14"/>
      <c r="B3" s="14"/>
      <c r="C3" s="14"/>
    </row>
    <row r="4" spans="1:19" s="15" customFormat="1" ht="33.75" x14ac:dyDescent="0.2">
      <c r="A4" s="2" t="s">
        <v>0</v>
      </c>
      <c r="B4" s="2" t="s">
        <v>1</v>
      </c>
      <c r="C4" s="2" t="s">
        <v>2</v>
      </c>
      <c r="D4" s="2" t="s">
        <v>3</v>
      </c>
      <c r="E4" s="2" t="s">
        <v>4</v>
      </c>
      <c r="F4" s="2" t="s">
        <v>5</v>
      </c>
      <c r="G4" s="2" t="s">
        <v>6</v>
      </c>
      <c r="H4" s="50" t="s">
        <v>169</v>
      </c>
      <c r="I4" s="16" t="s">
        <v>154</v>
      </c>
      <c r="J4" s="16" t="s">
        <v>155</v>
      </c>
      <c r="K4" s="16" t="s">
        <v>156</v>
      </c>
      <c r="L4" s="16" t="s">
        <v>157</v>
      </c>
      <c r="M4" s="16" t="s">
        <v>158</v>
      </c>
      <c r="N4" s="16" t="s">
        <v>159</v>
      </c>
      <c r="O4" s="16" t="s">
        <v>160</v>
      </c>
      <c r="P4" s="16" t="s">
        <v>161</v>
      </c>
      <c r="Q4" s="16" t="s">
        <v>162</v>
      </c>
      <c r="R4" s="16" t="s">
        <v>163</v>
      </c>
      <c r="S4" s="16" t="s">
        <v>164</v>
      </c>
    </row>
    <row r="5" spans="1:19" ht="129.75" customHeight="1" x14ac:dyDescent="0.2">
      <c r="A5" s="234" t="s">
        <v>137</v>
      </c>
      <c r="B5" s="212" t="s">
        <v>108</v>
      </c>
      <c r="C5" s="213" t="s">
        <v>10</v>
      </c>
      <c r="D5" s="10" t="s">
        <v>215</v>
      </c>
      <c r="E5" s="11">
        <v>44197</v>
      </c>
      <c r="F5" s="11">
        <v>44561</v>
      </c>
      <c r="G5" s="8"/>
      <c r="H5" s="43"/>
      <c r="I5" s="44"/>
      <c r="J5" s="44"/>
      <c r="K5" s="18"/>
      <c r="L5" s="18"/>
      <c r="M5" s="18"/>
      <c r="N5" s="18"/>
      <c r="O5" s="18"/>
      <c r="P5" s="18"/>
      <c r="Q5" s="44"/>
      <c r="R5" s="44"/>
      <c r="S5" s="18"/>
    </row>
    <row r="6" spans="1:19" ht="38.25" customHeight="1" x14ac:dyDescent="0.2">
      <c r="A6" s="234"/>
      <c r="B6" s="212"/>
      <c r="C6" s="213"/>
      <c r="D6" s="10" t="s">
        <v>216</v>
      </c>
      <c r="E6" s="11">
        <v>44197</v>
      </c>
      <c r="F6" s="11">
        <v>44561</v>
      </c>
      <c r="G6" s="8"/>
      <c r="H6" s="43"/>
      <c r="I6" s="44"/>
      <c r="J6" s="44"/>
      <c r="K6" s="18"/>
      <c r="L6" s="18"/>
      <c r="M6" s="18"/>
      <c r="N6" s="18"/>
      <c r="O6" s="18"/>
      <c r="P6" s="18"/>
      <c r="Q6" s="44"/>
      <c r="R6" s="44"/>
      <c r="S6" s="18"/>
    </row>
    <row r="7" spans="1:19" ht="54.75" customHeight="1" x14ac:dyDescent="0.2">
      <c r="A7" s="234" t="s">
        <v>138</v>
      </c>
      <c r="B7" s="212" t="s">
        <v>109</v>
      </c>
      <c r="C7" s="213" t="s">
        <v>10</v>
      </c>
      <c r="D7" s="218" t="s">
        <v>217</v>
      </c>
      <c r="E7" s="11">
        <v>44197</v>
      </c>
      <c r="F7" s="11">
        <v>44561</v>
      </c>
      <c r="G7" s="9">
        <v>730804</v>
      </c>
      <c r="H7" s="42">
        <v>15048</v>
      </c>
      <c r="I7" s="42">
        <f>-12096-2952</f>
        <v>-15048</v>
      </c>
      <c r="J7" s="47">
        <f>H7+I7</f>
        <v>0</v>
      </c>
      <c r="K7" s="18"/>
      <c r="L7" s="18"/>
      <c r="M7" s="18"/>
      <c r="N7" s="18"/>
      <c r="O7" s="18"/>
      <c r="P7" s="18"/>
      <c r="Q7" s="44"/>
      <c r="R7" s="44"/>
      <c r="S7" s="33">
        <f>J7-O7-Q7</f>
        <v>0</v>
      </c>
    </row>
    <row r="8" spans="1:19" ht="53.25" customHeight="1" x14ac:dyDescent="0.2">
      <c r="A8" s="234"/>
      <c r="B8" s="212"/>
      <c r="C8" s="213"/>
      <c r="D8" s="222"/>
      <c r="E8" s="117"/>
      <c r="F8" s="117"/>
      <c r="G8" s="9">
        <v>730606</v>
      </c>
      <c r="H8" s="42"/>
      <c r="I8" s="42">
        <f>12096-2688</f>
        <v>9408</v>
      </c>
      <c r="J8" s="47">
        <f>H8+I8</f>
        <v>9408</v>
      </c>
      <c r="K8" s="109" t="s">
        <v>396</v>
      </c>
      <c r="L8" s="109" t="s">
        <v>340</v>
      </c>
      <c r="M8" s="121">
        <v>44279</v>
      </c>
      <c r="N8" s="122" t="s">
        <v>341</v>
      </c>
      <c r="O8" s="47">
        <f>12096-7600-2688-1808</f>
        <v>0</v>
      </c>
      <c r="P8" s="18">
        <v>2000070898</v>
      </c>
      <c r="Q8" s="44">
        <v>7600</v>
      </c>
      <c r="R8" s="44">
        <v>7600</v>
      </c>
      <c r="S8" s="136">
        <f>J8-O8-Q8</f>
        <v>1808</v>
      </c>
    </row>
    <row r="9" spans="1:19" ht="78" customHeight="1" x14ac:dyDescent="0.2">
      <c r="A9" s="234"/>
      <c r="B9" s="212"/>
      <c r="C9" s="213"/>
      <c r="D9" s="10" t="s">
        <v>218</v>
      </c>
      <c r="E9" s="11">
        <v>44197</v>
      </c>
      <c r="F9" s="11">
        <v>44561</v>
      </c>
      <c r="G9" s="8"/>
      <c r="H9" s="43"/>
      <c r="I9" s="44"/>
      <c r="J9" s="44"/>
      <c r="K9" s="18"/>
      <c r="L9" s="18"/>
      <c r="M9" s="18"/>
      <c r="N9" s="18"/>
      <c r="O9" s="18"/>
      <c r="P9" s="18"/>
      <c r="Q9" s="44"/>
      <c r="R9" s="44"/>
      <c r="S9" s="18"/>
    </row>
    <row r="10" spans="1:19" ht="82.5" customHeight="1" x14ac:dyDescent="0.2">
      <c r="A10" s="234"/>
      <c r="B10" s="212"/>
      <c r="C10" s="213"/>
      <c r="D10" s="10" t="s">
        <v>219</v>
      </c>
      <c r="E10" s="11">
        <v>44197</v>
      </c>
      <c r="F10" s="11">
        <v>44561</v>
      </c>
      <c r="G10" s="8"/>
      <c r="H10" s="43"/>
      <c r="I10" s="44"/>
      <c r="J10" s="44"/>
      <c r="K10" s="18"/>
      <c r="L10" s="18"/>
      <c r="M10" s="18"/>
      <c r="N10" s="18"/>
      <c r="O10" s="18"/>
      <c r="P10" s="18"/>
      <c r="Q10" s="44"/>
      <c r="R10" s="44"/>
      <c r="S10" s="18"/>
    </row>
    <row r="11" spans="1:19" ht="22.5" x14ac:dyDescent="0.2">
      <c r="A11" s="234"/>
      <c r="B11" s="212"/>
      <c r="C11" s="213"/>
      <c r="D11" s="10" t="s">
        <v>220</v>
      </c>
      <c r="E11" s="11">
        <v>44197</v>
      </c>
      <c r="F11" s="11">
        <v>44561</v>
      </c>
      <c r="G11" s="8"/>
      <c r="H11" s="43"/>
      <c r="I11" s="44"/>
      <c r="J11" s="44"/>
      <c r="K11" s="18"/>
      <c r="L11" s="18"/>
      <c r="M11" s="18"/>
      <c r="N11" s="18"/>
      <c r="O11" s="18"/>
      <c r="P11" s="18"/>
      <c r="Q11" s="44"/>
      <c r="R11" s="44"/>
      <c r="S11" s="18"/>
    </row>
    <row r="12" spans="1:19" ht="43.5" customHeight="1" x14ac:dyDescent="0.2">
      <c r="A12" s="234"/>
      <c r="B12" s="212" t="s">
        <v>110</v>
      </c>
      <c r="C12" s="213" t="s">
        <v>10</v>
      </c>
      <c r="D12" s="10" t="s">
        <v>221</v>
      </c>
      <c r="E12" s="11">
        <v>44197</v>
      </c>
      <c r="F12" s="11">
        <v>44561</v>
      </c>
      <c r="G12" s="8"/>
      <c r="H12" s="43"/>
      <c r="I12" s="44"/>
      <c r="J12" s="44"/>
      <c r="K12" s="18"/>
      <c r="L12" s="18"/>
      <c r="M12" s="18"/>
      <c r="N12" s="18"/>
      <c r="O12" s="18"/>
      <c r="P12" s="18"/>
      <c r="Q12" s="44"/>
      <c r="R12" s="44"/>
      <c r="S12" s="18"/>
    </row>
    <row r="13" spans="1:19" ht="76.5" customHeight="1" x14ac:dyDescent="0.2">
      <c r="A13" s="234"/>
      <c r="B13" s="212"/>
      <c r="C13" s="213"/>
      <c r="D13" s="10" t="s">
        <v>222</v>
      </c>
      <c r="E13" s="11">
        <v>44197</v>
      </c>
      <c r="F13" s="11">
        <v>44561</v>
      </c>
      <c r="G13" s="8"/>
      <c r="H13" s="43"/>
      <c r="I13" s="44"/>
      <c r="J13" s="44"/>
      <c r="K13" s="18"/>
      <c r="L13" s="18"/>
      <c r="M13" s="18"/>
      <c r="N13" s="18"/>
      <c r="O13" s="18"/>
      <c r="P13" s="18"/>
      <c r="Q13" s="44"/>
      <c r="R13" s="44"/>
      <c r="S13" s="18"/>
    </row>
    <row r="14" spans="1:19" ht="22.5" x14ac:dyDescent="0.2">
      <c r="A14" s="234"/>
      <c r="B14" s="212"/>
      <c r="C14" s="213"/>
      <c r="D14" s="10" t="s">
        <v>220</v>
      </c>
      <c r="E14" s="11">
        <v>44197</v>
      </c>
      <c r="F14" s="11">
        <v>44561</v>
      </c>
      <c r="G14" s="8"/>
      <c r="H14" s="43"/>
      <c r="I14" s="44"/>
      <c r="J14" s="44"/>
      <c r="K14" s="18"/>
      <c r="L14" s="18"/>
      <c r="M14" s="18"/>
      <c r="N14" s="18"/>
      <c r="O14" s="18"/>
      <c r="P14" s="18"/>
      <c r="Q14" s="44"/>
      <c r="R14" s="44"/>
      <c r="S14" s="18"/>
    </row>
    <row r="15" spans="1:19" ht="33" customHeight="1" x14ac:dyDescent="0.2">
      <c r="A15" s="234" t="s">
        <v>139</v>
      </c>
      <c r="B15" s="212" t="s">
        <v>111</v>
      </c>
      <c r="C15" s="213" t="s">
        <v>10</v>
      </c>
      <c r="D15" s="10" t="s">
        <v>223</v>
      </c>
      <c r="E15" s="11">
        <v>44197</v>
      </c>
      <c r="F15" s="11">
        <v>44561</v>
      </c>
      <c r="G15" s="8"/>
      <c r="H15" s="43"/>
      <c r="I15" s="44"/>
      <c r="J15" s="44"/>
      <c r="K15" s="18"/>
      <c r="L15" s="18"/>
      <c r="M15" s="18"/>
      <c r="N15" s="18"/>
      <c r="O15" s="18"/>
      <c r="P15" s="18"/>
      <c r="Q15" s="44"/>
      <c r="R15" s="44"/>
      <c r="S15" s="18"/>
    </row>
    <row r="16" spans="1:19" ht="40.5" customHeight="1" x14ac:dyDescent="0.2">
      <c r="A16" s="234"/>
      <c r="B16" s="212"/>
      <c r="C16" s="213"/>
      <c r="D16" s="10" t="s">
        <v>224</v>
      </c>
      <c r="E16" s="11">
        <v>44197</v>
      </c>
      <c r="F16" s="11">
        <v>44561</v>
      </c>
      <c r="G16" s="8"/>
      <c r="H16" s="43"/>
      <c r="I16" s="44"/>
      <c r="J16" s="44"/>
      <c r="K16" s="18"/>
      <c r="L16" s="18"/>
      <c r="M16" s="18"/>
      <c r="N16" s="18"/>
      <c r="O16" s="18"/>
      <c r="P16" s="18"/>
      <c r="Q16" s="44"/>
      <c r="R16" s="44"/>
      <c r="S16" s="18"/>
    </row>
    <row r="17" spans="1:19" ht="58.5" customHeight="1" x14ac:dyDescent="0.2">
      <c r="A17" s="234"/>
      <c r="B17" s="212"/>
      <c r="C17" s="213"/>
      <c r="D17" s="10" t="s">
        <v>225</v>
      </c>
      <c r="E17" s="11">
        <v>44197</v>
      </c>
      <c r="F17" s="11">
        <v>44561</v>
      </c>
      <c r="G17" s="8"/>
      <c r="H17" s="43"/>
      <c r="I17" s="44"/>
      <c r="J17" s="44"/>
      <c r="K17" s="18"/>
      <c r="L17" s="18"/>
      <c r="M17" s="18"/>
      <c r="N17" s="18"/>
      <c r="O17" s="18"/>
      <c r="P17" s="18"/>
      <c r="Q17" s="44"/>
      <c r="R17" s="44"/>
      <c r="S17" s="33"/>
    </row>
    <row r="18" spans="1:19" x14ac:dyDescent="0.2">
      <c r="A18" s="220"/>
      <c r="B18" s="220"/>
      <c r="C18" s="220"/>
      <c r="D18" s="220"/>
      <c r="E18" s="220"/>
      <c r="F18" s="220"/>
      <c r="G18" s="221"/>
      <c r="H18" s="19">
        <f>SUM(H5:H17)</f>
        <v>15048</v>
      </c>
      <c r="I18" s="19">
        <f t="shared" ref="I18" si="0">SUM(I5:I17)</f>
        <v>-5640</v>
      </c>
      <c r="J18" s="19">
        <f>SUM(J5:J17)</f>
        <v>9408</v>
      </c>
      <c r="K18" s="205"/>
      <c r="L18" s="206"/>
      <c r="M18" s="206"/>
      <c r="N18" s="207"/>
      <c r="O18" s="19">
        <f>SUM(O5:O17)</f>
        <v>0</v>
      </c>
      <c r="P18" s="19"/>
      <c r="Q18" s="19">
        <f t="shared" ref="Q18:S18" si="1">SUM(Q5:Q17)</f>
        <v>7600</v>
      </c>
      <c r="R18" s="19">
        <f t="shared" si="1"/>
        <v>7600</v>
      </c>
      <c r="S18" s="19">
        <f t="shared" si="1"/>
        <v>1808</v>
      </c>
    </row>
    <row r="19" spans="1:19" x14ac:dyDescent="0.2">
      <c r="A19" s="203"/>
      <c r="B19" s="203"/>
      <c r="C19" s="203"/>
      <c r="D19" s="203"/>
      <c r="E19" s="203"/>
      <c r="F19" s="203"/>
      <c r="G19" s="204"/>
      <c r="H19" s="26">
        <f>+H18</f>
        <v>15048</v>
      </c>
      <c r="I19" s="26">
        <f t="shared" ref="I19:J19" si="2">+I18</f>
        <v>-5640</v>
      </c>
      <c r="J19" s="26">
        <f t="shared" si="2"/>
        <v>9408</v>
      </c>
      <c r="K19" s="208"/>
      <c r="L19" s="209"/>
      <c r="M19" s="209"/>
      <c r="N19" s="210"/>
      <c r="O19" s="26">
        <f t="shared" ref="O19" si="3">+O18</f>
        <v>0</v>
      </c>
      <c r="P19" s="26"/>
      <c r="Q19" s="26">
        <f t="shared" ref="Q19:S19" si="4">+Q18</f>
        <v>7600</v>
      </c>
      <c r="R19" s="26">
        <f t="shared" si="4"/>
        <v>7600</v>
      </c>
      <c r="S19" s="26">
        <f t="shared" si="4"/>
        <v>1808</v>
      </c>
    </row>
    <row r="21" spans="1:19" ht="12.75" x14ac:dyDescent="0.2">
      <c r="R21" s="131" t="s">
        <v>310</v>
      </c>
      <c r="S21" s="92"/>
    </row>
  </sheetData>
  <mergeCells count="16">
    <mergeCell ref="A18:G18"/>
    <mergeCell ref="K18:N18"/>
    <mergeCell ref="A19:G19"/>
    <mergeCell ref="K19:N19"/>
    <mergeCell ref="A5:A6"/>
    <mergeCell ref="B5:B6"/>
    <mergeCell ref="A15:A17"/>
    <mergeCell ref="B15:B17"/>
    <mergeCell ref="C15:C17"/>
    <mergeCell ref="C5:C6"/>
    <mergeCell ref="A7:A14"/>
    <mergeCell ref="B7:B11"/>
    <mergeCell ref="C7:C11"/>
    <mergeCell ref="B12:B14"/>
    <mergeCell ref="C12:C14"/>
    <mergeCell ref="D7:D8"/>
  </mergeCells>
  <pageMargins left="0.31496062992125984" right="0" top="0.55118110236220474" bottom="0.15748031496062992" header="0.31496062992125984" footer="0.31496062992125984"/>
  <pageSetup paperSize="9" scale="65"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S15"/>
  <sheetViews>
    <sheetView topLeftCell="G1" workbookViewId="0">
      <selection activeCell="L20" sqref="L20"/>
    </sheetView>
  </sheetViews>
  <sheetFormatPr baseColWidth="10" defaultRowHeight="11.25" x14ac:dyDescent="0.2"/>
  <cols>
    <col min="1" max="1" width="16.7109375" style="5" customWidth="1"/>
    <col min="2" max="2" width="15.5703125" style="5" customWidth="1"/>
    <col min="3" max="3" width="7.5703125" style="5" customWidth="1"/>
    <col min="4" max="4" width="22.5703125" style="5" customWidth="1"/>
    <col min="5" max="5" width="8.5703125" style="5" hidden="1" customWidth="1"/>
    <col min="6" max="6" width="9.28515625" style="5" hidden="1" customWidth="1"/>
    <col min="7" max="7" width="9.140625" style="5" customWidth="1"/>
    <col min="8" max="8" width="9.28515625" style="23" customWidth="1"/>
    <col min="9" max="9" width="11.42578125" style="23"/>
    <col min="10" max="10" width="10.7109375" style="23" customWidth="1"/>
    <col min="11" max="11" width="11.42578125" style="5"/>
    <col min="12" max="12" width="14.140625" style="5" customWidth="1"/>
    <col min="13" max="13" width="10.28515625" style="5" customWidth="1"/>
    <col min="14" max="14" width="11.42578125" style="5"/>
    <col min="15" max="15" width="11.140625" style="5" customWidth="1"/>
    <col min="16" max="16" width="11.7109375" style="5" customWidth="1"/>
    <col min="17" max="17" width="13.42578125" style="23" customWidth="1"/>
    <col min="18" max="18" width="11.42578125" style="23"/>
    <col min="19" max="16384" width="11.42578125" style="5"/>
  </cols>
  <sheetData>
    <row r="1" spans="1:19" s="36" customFormat="1" ht="12.75" x14ac:dyDescent="0.2">
      <c r="A1" s="34" t="s">
        <v>146</v>
      </c>
      <c r="B1" s="34" t="s">
        <v>106</v>
      </c>
      <c r="C1" s="35"/>
      <c r="D1" s="35"/>
      <c r="E1" s="35"/>
      <c r="F1" s="35"/>
      <c r="G1" s="35"/>
      <c r="H1" s="39"/>
      <c r="I1" s="40"/>
      <c r="J1" s="40"/>
      <c r="Q1" s="40"/>
      <c r="R1" s="40"/>
    </row>
    <row r="2" spans="1:19" s="36" customFormat="1" ht="12.75" x14ac:dyDescent="0.2">
      <c r="A2" s="34" t="s">
        <v>147</v>
      </c>
      <c r="B2" s="34" t="s">
        <v>112</v>
      </c>
      <c r="C2" s="34"/>
      <c r="H2" s="40"/>
      <c r="I2" s="40"/>
      <c r="J2" s="40"/>
      <c r="Q2" s="40"/>
      <c r="R2" s="40"/>
    </row>
    <row r="3" spans="1:19" s="36" customFormat="1" ht="7.5" customHeight="1" x14ac:dyDescent="0.2">
      <c r="A3" s="34"/>
      <c r="B3" s="34"/>
      <c r="C3" s="34"/>
      <c r="H3" s="40"/>
      <c r="I3" s="40"/>
      <c r="J3" s="40"/>
      <c r="Q3" s="40"/>
      <c r="R3" s="40"/>
    </row>
    <row r="4" spans="1:19" ht="41.25" customHeight="1" x14ac:dyDescent="0.2">
      <c r="A4" s="2" t="s">
        <v>0</v>
      </c>
      <c r="B4" s="2" t="s">
        <v>1</v>
      </c>
      <c r="C4" s="3" t="s">
        <v>2</v>
      </c>
      <c r="D4" s="3" t="s">
        <v>3</v>
      </c>
      <c r="E4" s="3" t="s">
        <v>4</v>
      </c>
      <c r="F4" s="3" t="s">
        <v>5</v>
      </c>
      <c r="G4" s="3" t="s">
        <v>6</v>
      </c>
      <c r="H4" s="41" t="s">
        <v>169</v>
      </c>
      <c r="I4" s="16" t="s">
        <v>154</v>
      </c>
      <c r="J4" s="16" t="s">
        <v>155</v>
      </c>
      <c r="K4" s="16" t="s">
        <v>156</v>
      </c>
      <c r="L4" s="16" t="s">
        <v>157</v>
      </c>
      <c r="M4" s="16" t="s">
        <v>158</v>
      </c>
      <c r="N4" s="16" t="s">
        <v>159</v>
      </c>
      <c r="O4" s="31" t="s">
        <v>160</v>
      </c>
      <c r="P4" s="31" t="s">
        <v>161</v>
      </c>
      <c r="Q4" s="16" t="s">
        <v>162</v>
      </c>
      <c r="R4" s="16" t="s">
        <v>163</v>
      </c>
      <c r="S4" s="16" t="s">
        <v>164</v>
      </c>
    </row>
    <row r="5" spans="1:19" ht="65.25" customHeight="1" x14ac:dyDescent="0.2">
      <c r="A5" s="234" t="s">
        <v>140</v>
      </c>
      <c r="B5" s="241" t="s">
        <v>113</v>
      </c>
      <c r="C5" s="37" t="s">
        <v>10</v>
      </c>
      <c r="D5" s="10" t="s">
        <v>226</v>
      </c>
      <c r="E5" s="11">
        <v>44197</v>
      </c>
      <c r="F5" s="11">
        <v>44561</v>
      </c>
      <c r="G5" s="8"/>
      <c r="H5" s="43"/>
      <c r="I5" s="44"/>
      <c r="J5" s="44"/>
      <c r="K5" s="18"/>
      <c r="L5" s="18"/>
      <c r="M5" s="18"/>
      <c r="N5" s="18"/>
      <c r="O5" s="18"/>
      <c r="P5" s="18"/>
      <c r="Q5" s="44"/>
      <c r="R5" s="44"/>
      <c r="S5" s="18"/>
    </row>
    <row r="6" spans="1:19" ht="54.75" customHeight="1" x14ac:dyDescent="0.2">
      <c r="A6" s="234"/>
      <c r="B6" s="242"/>
      <c r="C6" s="37"/>
      <c r="D6" s="10" t="s">
        <v>227</v>
      </c>
      <c r="E6" s="11">
        <v>44197</v>
      </c>
      <c r="F6" s="11">
        <v>44561</v>
      </c>
      <c r="G6" s="8"/>
      <c r="H6" s="43"/>
      <c r="I6" s="44"/>
      <c r="J6" s="44"/>
      <c r="K6" s="18"/>
      <c r="L6" s="18"/>
      <c r="M6" s="18"/>
      <c r="N6" s="18"/>
      <c r="O6" s="18"/>
      <c r="P6" s="18"/>
      <c r="Q6" s="44"/>
      <c r="R6" s="44"/>
      <c r="S6" s="18"/>
    </row>
    <row r="7" spans="1:19" ht="48.75" customHeight="1" x14ac:dyDescent="0.2">
      <c r="A7" s="234"/>
      <c r="B7" s="242"/>
      <c r="C7" s="37"/>
      <c r="D7" s="218" t="s">
        <v>228</v>
      </c>
      <c r="E7" s="11">
        <v>44287</v>
      </c>
      <c r="F7" s="11">
        <v>44347</v>
      </c>
      <c r="G7" s="9">
        <v>730804</v>
      </c>
      <c r="H7" s="42">
        <v>15048</v>
      </c>
      <c r="I7" s="42">
        <f>-12096-2952</f>
        <v>-15048</v>
      </c>
      <c r="J7" s="47">
        <f>H7+I7</f>
        <v>0</v>
      </c>
      <c r="K7" s="18"/>
      <c r="L7" s="18"/>
      <c r="M7" s="18"/>
      <c r="N7" s="18"/>
      <c r="O7" s="18"/>
      <c r="P7" s="18"/>
      <c r="Q7" s="44"/>
      <c r="R7" s="44"/>
      <c r="S7" s="33">
        <f>J7-O7-Q7</f>
        <v>0</v>
      </c>
    </row>
    <row r="8" spans="1:19" ht="45" customHeight="1" x14ac:dyDescent="0.2">
      <c r="A8" s="234"/>
      <c r="B8" s="243"/>
      <c r="C8" s="37"/>
      <c r="D8" s="222"/>
      <c r="E8" s="117"/>
      <c r="F8" s="117"/>
      <c r="G8" s="9">
        <v>730606</v>
      </c>
      <c r="H8" s="42"/>
      <c r="I8" s="42">
        <f>12096-2688</f>
        <v>9408</v>
      </c>
      <c r="J8" s="47">
        <f>H8+I8</f>
        <v>9408</v>
      </c>
      <c r="K8" s="123" t="s">
        <v>395</v>
      </c>
      <c r="L8" s="123" t="s">
        <v>343</v>
      </c>
      <c r="M8" s="123">
        <v>44279</v>
      </c>
      <c r="N8" s="122" t="s">
        <v>342</v>
      </c>
      <c r="O8" s="47">
        <f>12096-7600-2688-1808</f>
        <v>0</v>
      </c>
      <c r="P8" s="18">
        <v>2000070896</v>
      </c>
      <c r="Q8" s="44">
        <v>7600</v>
      </c>
      <c r="R8" s="44">
        <v>4000</v>
      </c>
      <c r="S8" s="185">
        <f>J8-O8-Q8</f>
        <v>1808</v>
      </c>
    </row>
    <row r="9" spans="1:19" ht="45" customHeight="1" x14ac:dyDescent="0.2">
      <c r="A9" s="234"/>
      <c r="B9" s="212" t="s">
        <v>114</v>
      </c>
      <c r="C9" s="37" t="s">
        <v>10</v>
      </c>
      <c r="D9" s="10" t="s">
        <v>229</v>
      </c>
      <c r="E9" s="11">
        <v>44348</v>
      </c>
      <c r="F9" s="11">
        <v>44407</v>
      </c>
      <c r="G9" s="8"/>
      <c r="H9" s="43"/>
      <c r="I9" s="44"/>
      <c r="J9" s="44"/>
      <c r="K9" s="18"/>
      <c r="L9" s="18"/>
      <c r="M9" s="18"/>
      <c r="N9" s="18"/>
      <c r="O9" s="18"/>
      <c r="P9" s="18"/>
      <c r="Q9" s="44"/>
      <c r="R9" s="44"/>
      <c r="S9" s="18"/>
    </row>
    <row r="10" spans="1:19" ht="80.25" customHeight="1" x14ac:dyDescent="0.2">
      <c r="A10" s="234"/>
      <c r="B10" s="212"/>
      <c r="C10" s="37"/>
      <c r="D10" s="10" t="s">
        <v>230</v>
      </c>
      <c r="E10" s="11">
        <v>44348</v>
      </c>
      <c r="F10" s="11">
        <v>44407</v>
      </c>
      <c r="G10" s="8"/>
      <c r="H10" s="43"/>
      <c r="I10" s="44"/>
      <c r="J10" s="44"/>
      <c r="K10" s="18"/>
      <c r="L10" s="18"/>
      <c r="M10" s="18"/>
      <c r="N10" s="18"/>
      <c r="O10" s="18"/>
      <c r="P10" s="18"/>
      <c r="Q10" s="44"/>
      <c r="R10" s="44"/>
      <c r="S10" s="18"/>
    </row>
    <row r="11" spans="1:19" ht="66" customHeight="1" x14ac:dyDescent="0.2">
      <c r="A11" s="234"/>
      <c r="B11" s="212"/>
      <c r="C11" s="37"/>
      <c r="D11" s="10" t="s">
        <v>231</v>
      </c>
      <c r="E11" s="11">
        <v>44501</v>
      </c>
      <c r="F11" s="11">
        <v>44530</v>
      </c>
      <c r="G11" s="8"/>
      <c r="H11" s="43"/>
      <c r="I11" s="44"/>
      <c r="J11" s="44"/>
      <c r="K11" s="18"/>
      <c r="L11" s="18"/>
      <c r="M11" s="18"/>
      <c r="N11" s="18"/>
      <c r="O11" s="18"/>
      <c r="P11" s="18"/>
      <c r="Q11" s="44"/>
      <c r="R11" s="44"/>
      <c r="S11" s="18"/>
    </row>
    <row r="12" spans="1:19" x14ac:dyDescent="0.2">
      <c r="A12" s="220"/>
      <c r="B12" s="220"/>
      <c r="C12" s="220"/>
      <c r="D12" s="220"/>
      <c r="E12" s="220"/>
      <c r="F12" s="220"/>
      <c r="G12" s="221"/>
      <c r="H12" s="19">
        <f>SUM(H5:H11)</f>
        <v>15048</v>
      </c>
      <c r="I12" s="19">
        <f>SUM(I5:I11)</f>
        <v>-5640</v>
      </c>
      <c r="J12" s="19">
        <f>SUM(J5:J11)</f>
        <v>9408</v>
      </c>
      <c r="K12" s="205"/>
      <c r="L12" s="206"/>
      <c r="M12" s="206"/>
      <c r="N12" s="207"/>
      <c r="O12" s="19">
        <f>SUM(O5:O11)</f>
        <v>0</v>
      </c>
      <c r="P12" s="19"/>
      <c r="Q12" s="19">
        <f>SUM(Q5:Q11)</f>
        <v>7600</v>
      </c>
      <c r="R12" s="19">
        <f>SUM(R5:R11)</f>
        <v>4000</v>
      </c>
      <c r="S12" s="19">
        <f>SUM(S5:S11)</f>
        <v>1808</v>
      </c>
    </row>
    <row r="13" spans="1:19" x14ac:dyDescent="0.2">
      <c r="A13" s="203"/>
      <c r="B13" s="203"/>
      <c r="C13" s="203"/>
      <c r="D13" s="203"/>
      <c r="E13" s="203"/>
      <c r="F13" s="203"/>
      <c r="G13" s="204"/>
      <c r="H13" s="26">
        <f>+H12</f>
        <v>15048</v>
      </c>
      <c r="I13" s="26">
        <f t="shared" ref="I13:J13" si="0">+I12</f>
        <v>-5640</v>
      </c>
      <c r="J13" s="26">
        <f t="shared" si="0"/>
        <v>9408</v>
      </c>
      <c r="K13" s="208"/>
      <c r="L13" s="209"/>
      <c r="M13" s="209"/>
      <c r="N13" s="210"/>
      <c r="O13" s="26">
        <f t="shared" ref="O13" si="1">+O12</f>
        <v>0</v>
      </c>
      <c r="P13" s="26"/>
      <c r="Q13" s="26">
        <f t="shared" ref="Q13" si="2">+Q12</f>
        <v>7600</v>
      </c>
      <c r="R13" s="26">
        <f t="shared" ref="R13" si="3">+R12</f>
        <v>4000</v>
      </c>
      <c r="S13" s="26">
        <f t="shared" ref="S13" si="4">+S12</f>
        <v>1808</v>
      </c>
    </row>
    <row r="15" spans="1:19" ht="12.75" x14ac:dyDescent="0.2">
      <c r="R15" s="131" t="s">
        <v>310</v>
      </c>
      <c r="S15" s="92"/>
    </row>
  </sheetData>
  <mergeCells count="8">
    <mergeCell ref="A13:G13"/>
    <mergeCell ref="K13:N13"/>
    <mergeCell ref="A5:A11"/>
    <mergeCell ref="B9:B11"/>
    <mergeCell ref="A12:G12"/>
    <mergeCell ref="K12:N12"/>
    <mergeCell ref="B5:B8"/>
    <mergeCell ref="D7:D8"/>
  </mergeCells>
  <pageMargins left="0.31496062992125984" right="0" top="0.55118110236220474" bottom="0.15748031496062992" header="0.31496062992125984" footer="0.31496062992125984"/>
  <pageSetup paperSize="9" scale="65"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00"/>
  </sheetPr>
  <dimension ref="A1:S13"/>
  <sheetViews>
    <sheetView topLeftCell="G1" workbookViewId="0">
      <selection activeCell="M15" sqref="M15"/>
    </sheetView>
  </sheetViews>
  <sheetFormatPr baseColWidth="10" defaultRowHeight="11.25" x14ac:dyDescent="0.2"/>
  <cols>
    <col min="1" max="1" width="14.28515625" style="5" customWidth="1"/>
    <col min="2" max="2" width="12.140625" style="5" customWidth="1"/>
    <col min="3" max="3" width="6.42578125" style="5" customWidth="1"/>
    <col min="4" max="4" width="31" style="5" customWidth="1"/>
    <col min="5" max="5" width="7.42578125" style="5" hidden="1" customWidth="1"/>
    <col min="6" max="6" width="9.28515625" style="5" hidden="1" customWidth="1"/>
    <col min="7" max="7" width="8" style="5" customWidth="1"/>
    <col min="8" max="8" width="9.42578125" style="23" customWidth="1"/>
    <col min="9" max="9" width="10" style="23" customWidth="1"/>
    <col min="10" max="10" width="10.42578125" style="23" customWidth="1"/>
    <col min="11" max="11" width="11.42578125" style="5"/>
    <col min="12" max="12" width="20.140625" style="5" customWidth="1"/>
    <col min="13" max="13" width="17.85546875" style="5" customWidth="1"/>
    <col min="14" max="15" width="11.42578125" style="5"/>
    <col min="16" max="16" width="11.7109375" style="5" customWidth="1"/>
    <col min="17" max="17" width="12.28515625" style="5" customWidth="1"/>
    <col min="18" max="18" width="11.42578125" style="5"/>
    <col min="19" max="19" width="9.5703125" style="5" customWidth="1"/>
    <col min="20" max="16384" width="11.42578125" style="5"/>
  </cols>
  <sheetData>
    <row r="1" spans="1:19" s="36" customFormat="1" ht="12.75" x14ac:dyDescent="0.2">
      <c r="A1" s="34" t="s">
        <v>146</v>
      </c>
      <c r="B1" s="34" t="s">
        <v>115</v>
      </c>
      <c r="C1" s="35"/>
      <c r="D1" s="35"/>
      <c r="E1" s="35"/>
      <c r="F1" s="35"/>
      <c r="G1" s="35"/>
      <c r="H1" s="39"/>
      <c r="I1" s="40"/>
      <c r="J1" s="40"/>
    </row>
    <row r="2" spans="1:19" s="36" customFormat="1" ht="12.75" x14ac:dyDescent="0.2">
      <c r="A2" s="34" t="s">
        <v>147</v>
      </c>
      <c r="B2" s="34" t="s">
        <v>151</v>
      </c>
      <c r="C2" s="34"/>
      <c r="D2" s="34"/>
      <c r="H2" s="40"/>
      <c r="I2" s="40"/>
      <c r="J2" s="40"/>
    </row>
    <row r="3" spans="1:19" ht="7.5" customHeight="1" x14ac:dyDescent="0.2">
      <c r="A3" s="14"/>
      <c r="B3" s="14"/>
      <c r="C3" s="14"/>
      <c r="D3" s="14"/>
    </row>
    <row r="4" spans="1:19" ht="33.75" x14ac:dyDescent="0.2">
      <c r="A4" s="2" t="s">
        <v>0</v>
      </c>
      <c r="B4" s="2" t="s">
        <v>1</v>
      </c>
      <c r="C4" s="3" t="s">
        <v>2</v>
      </c>
      <c r="D4" s="3" t="s">
        <v>3</v>
      </c>
      <c r="E4" s="3" t="s">
        <v>4</v>
      </c>
      <c r="F4" s="3" t="s">
        <v>5</v>
      </c>
      <c r="G4" s="3" t="s">
        <v>6</v>
      </c>
      <c r="H4" s="41" t="s">
        <v>169</v>
      </c>
      <c r="I4" s="16" t="s">
        <v>154</v>
      </c>
      <c r="J4" s="16" t="s">
        <v>155</v>
      </c>
      <c r="K4" s="16" t="s">
        <v>156</v>
      </c>
      <c r="L4" s="16" t="s">
        <v>157</v>
      </c>
      <c r="M4" s="16" t="s">
        <v>158</v>
      </c>
      <c r="N4" s="16" t="s">
        <v>159</v>
      </c>
      <c r="O4" s="16" t="s">
        <v>160</v>
      </c>
      <c r="P4" s="31" t="s">
        <v>161</v>
      </c>
      <c r="Q4" s="31" t="s">
        <v>162</v>
      </c>
      <c r="R4" s="16" t="s">
        <v>163</v>
      </c>
      <c r="S4" s="16" t="s">
        <v>164</v>
      </c>
    </row>
    <row r="5" spans="1:19" x14ac:dyDescent="0.2">
      <c r="A5" s="234" t="s">
        <v>141</v>
      </c>
      <c r="B5" s="212" t="s">
        <v>116</v>
      </c>
      <c r="C5" s="213" t="s">
        <v>10</v>
      </c>
      <c r="D5" s="10" t="s">
        <v>232</v>
      </c>
      <c r="E5" s="11">
        <v>44197</v>
      </c>
      <c r="F5" s="11">
        <v>44561</v>
      </c>
      <c r="G5" s="8"/>
      <c r="H5" s="43"/>
      <c r="I5" s="44"/>
      <c r="J5" s="44"/>
      <c r="K5" s="18"/>
      <c r="L5" s="18"/>
      <c r="M5" s="18"/>
      <c r="N5" s="18"/>
      <c r="O5" s="18"/>
      <c r="P5" s="18"/>
      <c r="Q5" s="18"/>
      <c r="R5" s="18"/>
      <c r="S5" s="18"/>
    </row>
    <row r="6" spans="1:19" ht="33.75" x14ac:dyDescent="0.2">
      <c r="A6" s="234"/>
      <c r="B6" s="212"/>
      <c r="C6" s="213"/>
      <c r="D6" s="10" t="s">
        <v>233</v>
      </c>
      <c r="E6" s="11">
        <v>44197</v>
      </c>
      <c r="F6" s="11">
        <v>44561</v>
      </c>
      <c r="G6" s="9">
        <v>730804</v>
      </c>
      <c r="H6" s="42">
        <v>16416</v>
      </c>
      <c r="I6" s="42">
        <v>-16416</v>
      </c>
      <c r="J6" s="46">
        <f>H6+I6</f>
        <v>0</v>
      </c>
      <c r="K6" s="18"/>
      <c r="L6" s="18"/>
      <c r="M6" s="18"/>
      <c r="N6" s="18"/>
      <c r="O6" s="18"/>
      <c r="P6" s="18"/>
      <c r="Q6" s="18"/>
      <c r="R6" s="18"/>
      <c r="S6" s="33">
        <f>J6-O6-Q6</f>
        <v>0</v>
      </c>
    </row>
    <row r="7" spans="1:19" ht="33.75" x14ac:dyDescent="0.2">
      <c r="A7" s="234"/>
      <c r="B7" s="212"/>
      <c r="C7" s="213"/>
      <c r="D7" s="10" t="s">
        <v>234</v>
      </c>
      <c r="E7" s="11">
        <v>44197</v>
      </c>
      <c r="F7" s="11">
        <v>44561</v>
      </c>
      <c r="G7" s="8"/>
      <c r="H7" s="43"/>
      <c r="I7" s="44"/>
      <c r="J7" s="44"/>
      <c r="K7" s="18"/>
      <c r="L7" s="18"/>
      <c r="M7" s="18"/>
      <c r="N7" s="18"/>
      <c r="O7" s="18"/>
      <c r="P7" s="18"/>
      <c r="Q7" s="18"/>
      <c r="R7" s="18"/>
      <c r="S7" s="18"/>
    </row>
    <row r="8" spans="1:19" ht="33.75" x14ac:dyDescent="0.2">
      <c r="A8" s="234"/>
      <c r="B8" s="212"/>
      <c r="C8" s="213"/>
      <c r="D8" s="10" t="s">
        <v>235</v>
      </c>
      <c r="E8" s="11">
        <v>44197</v>
      </c>
      <c r="F8" s="11">
        <v>44561</v>
      </c>
      <c r="G8" s="8"/>
      <c r="H8" s="43"/>
      <c r="I8" s="44"/>
      <c r="J8" s="44"/>
      <c r="K8" s="18"/>
      <c r="L8" s="18"/>
      <c r="M8" s="18"/>
      <c r="N8" s="18"/>
      <c r="O8" s="18"/>
      <c r="P8" s="18"/>
      <c r="Q8" s="18"/>
      <c r="R8" s="18"/>
      <c r="S8" s="18"/>
    </row>
    <row r="9" spans="1:19" ht="45" x14ac:dyDescent="0.2">
      <c r="A9" s="234"/>
      <c r="B9" s="212"/>
      <c r="C9" s="213"/>
      <c r="D9" s="10" t="s">
        <v>236</v>
      </c>
      <c r="E9" s="11">
        <v>44197</v>
      </c>
      <c r="F9" s="11">
        <v>44561</v>
      </c>
      <c r="G9" s="8"/>
      <c r="H9" s="43"/>
      <c r="I9" s="44"/>
      <c r="J9" s="44"/>
      <c r="K9" s="18"/>
      <c r="L9" s="18"/>
      <c r="M9" s="18"/>
      <c r="N9" s="18"/>
      <c r="O9" s="18"/>
      <c r="P9" s="18"/>
      <c r="Q9" s="18"/>
      <c r="R9" s="18"/>
      <c r="S9" s="18"/>
    </row>
    <row r="10" spans="1:19" x14ac:dyDescent="0.2">
      <c r="A10" s="220"/>
      <c r="B10" s="220"/>
      <c r="C10" s="220"/>
      <c r="D10" s="220"/>
      <c r="E10" s="220"/>
      <c r="F10" s="220"/>
      <c r="G10" s="221"/>
      <c r="H10" s="19">
        <f>SUM(H5:H9)</f>
        <v>16416</v>
      </c>
      <c r="I10" s="19">
        <f t="shared" ref="I10:J10" si="0">SUM(I4:I9)</f>
        <v>-16416</v>
      </c>
      <c r="J10" s="19">
        <f t="shared" si="0"/>
        <v>0</v>
      </c>
      <c r="K10" s="205"/>
      <c r="L10" s="206"/>
      <c r="M10" s="206"/>
      <c r="N10" s="207"/>
      <c r="O10" s="19">
        <f t="shared" ref="O10" si="1">SUM(O4:O9)</f>
        <v>0</v>
      </c>
      <c r="P10" s="19"/>
      <c r="Q10" s="19">
        <f t="shared" ref="Q10" si="2">SUM(Q4:Q9)</f>
        <v>0</v>
      </c>
      <c r="R10" s="19">
        <f t="shared" ref="R10" si="3">SUM(R4:R9)</f>
        <v>0</v>
      </c>
      <c r="S10" s="19">
        <f t="shared" ref="S10" si="4">SUM(S4:S9)</f>
        <v>0</v>
      </c>
    </row>
    <row r="11" spans="1:19" x14ac:dyDescent="0.2">
      <c r="A11" s="203"/>
      <c r="B11" s="203"/>
      <c r="C11" s="203"/>
      <c r="D11" s="203"/>
      <c r="E11" s="203"/>
      <c r="F11" s="203"/>
      <c r="G11" s="204"/>
      <c r="H11" s="26">
        <f>+H10</f>
        <v>16416</v>
      </c>
      <c r="I11" s="26">
        <f t="shared" ref="I11:J11" si="5">+I10</f>
        <v>-16416</v>
      </c>
      <c r="J11" s="26">
        <f t="shared" si="5"/>
        <v>0</v>
      </c>
      <c r="K11" s="208"/>
      <c r="L11" s="209"/>
      <c r="M11" s="209"/>
      <c r="N11" s="210"/>
      <c r="O11" s="26">
        <f t="shared" ref="O11" si="6">+O10</f>
        <v>0</v>
      </c>
      <c r="P11" s="26"/>
      <c r="Q11" s="26">
        <f t="shared" ref="Q11" si="7">+Q10</f>
        <v>0</v>
      </c>
      <c r="R11" s="26">
        <f t="shared" ref="R11" si="8">+R10</f>
        <v>0</v>
      </c>
      <c r="S11" s="26">
        <f t="shared" ref="S11" si="9">+S10</f>
        <v>0</v>
      </c>
    </row>
    <row r="13" spans="1:19" ht="12.75" x14ac:dyDescent="0.2">
      <c r="R13" s="92" t="s">
        <v>310</v>
      </c>
      <c r="S13" s="92"/>
    </row>
  </sheetData>
  <mergeCells count="7">
    <mergeCell ref="A11:G11"/>
    <mergeCell ref="K11:N11"/>
    <mergeCell ref="A5:A9"/>
    <mergeCell ref="B5:B9"/>
    <mergeCell ref="C5:C9"/>
    <mergeCell ref="A10:G10"/>
    <mergeCell ref="K10:N10"/>
  </mergeCells>
  <pageMargins left="0.31496062992125984" right="0" top="0.55118110236220474" bottom="0.15748031496062992" header="0.31496062992125984" footer="0.31496062992125984"/>
  <pageSetup paperSize="9" scale="65"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sheetPr>
  <dimension ref="A1:S17"/>
  <sheetViews>
    <sheetView topLeftCell="G7" workbookViewId="0">
      <selection activeCell="M10" sqref="M10"/>
    </sheetView>
  </sheetViews>
  <sheetFormatPr baseColWidth="10" defaultRowHeight="11.25" x14ac:dyDescent="0.2"/>
  <cols>
    <col min="1" max="1" width="14.28515625" style="5" customWidth="1"/>
    <col min="2" max="2" width="15.28515625" style="5" customWidth="1"/>
    <col min="3" max="3" width="8" style="5" customWidth="1"/>
    <col min="4" max="4" width="24.28515625" style="5" customWidth="1"/>
    <col min="5" max="6" width="9.42578125" style="5" hidden="1" customWidth="1"/>
    <col min="7" max="7" width="8.7109375" style="5" customWidth="1"/>
    <col min="8" max="8" width="10.140625" style="23" customWidth="1"/>
    <col min="9" max="9" width="9.85546875" style="23" customWidth="1"/>
    <col min="10" max="10" width="11.42578125" style="23"/>
    <col min="11" max="11" width="10.42578125" style="5" customWidth="1"/>
    <col min="12" max="12" width="14.140625" style="5" customWidth="1"/>
    <col min="13" max="13" width="12.5703125" style="5" customWidth="1"/>
    <col min="14" max="14" width="9.42578125" style="5" customWidth="1"/>
    <col min="15" max="15" width="11.42578125" style="23"/>
    <col min="16" max="16" width="10.140625" style="5" customWidth="1"/>
    <col min="17" max="17" width="10.5703125" style="23" customWidth="1"/>
    <col min="18" max="18" width="11.42578125" style="23"/>
    <col min="19" max="16384" width="11.42578125" style="5"/>
  </cols>
  <sheetData>
    <row r="1" spans="1:19" s="1" customFormat="1" ht="12" x14ac:dyDescent="0.2">
      <c r="A1" s="12" t="s">
        <v>146</v>
      </c>
      <c r="B1" s="12" t="s">
        <v>89</v>
      </c>
      <c r="C1" s="13"/>
      <c r="D1" s="13"/>
      <c r="E1" s="13"/>
      <c r="F1" s="13"/>
      <c r="G1" s="13"/>
      <c r="H1" s="27"/>
      <c r="I1" s="28"/>
      <c r="J1" s="28"/>
      <c r="O1" s="28"/>
      <c r="Q1" s="28"/>
      <c r="R1" s="28"/>
    </row>
    <row r="2" spans="1:19" s="1" customFormat="1" ht="12" x14ac:dyDescent="0.2">
      <c r="A2" s="12" t="s">
        <v>147</v>
      </c>
      <c r="B2" s="12" t="s">
        <v>152</v>
      </c>
      <c r="C2" s="12"/>
      <c r="H2" s="28"/>
      <c r="I2" s="28"/>
      <c r="J2" s="28"/>
      <c r="O2" s="28"/>
      <c r="Q2" s="28"/>
      <c r="R2" s="28"/>
    </row>
    <row r="3" spans="1:19" ht="9" customHeight="1" x14ac:dyDescent="0.2">
      <c r="A3" s="14"/>
      <c r="B3" s="14"/>
      <c r="C3" s="14"/>
    </row>
    <row r="4" spans="1:19" ht="33.75" x14ac:dyDescent="0.2">
      <c r="A4" s="2" t="s">
        <v>0</v>
      </c>
      <c r="B4" s="2" t="s">
        <v>1</v>
      </c>
      <c r="C4" s="3" t="s">
        <v>2</v>
      </c>
      <c r="D4" s="3" t="s">
        <v>3</v>
      </c>
      <c r="E4" s="3" t="s">
        <v>4</v>
      </c>
      <c r="F4" s="3" t="s">
        <v>5</v>
      </c>
      <c r="G4" s="3" t="s">
        <v>6</v>
      </c>
      <c r="H4" s="41" t="s">
        <v>169</v>
      </c>
      <c r="I4" s="16" t="s">
        <v>154</v>
      </c>
      <c r="J4" s="16" t="s">
        <v>155</v>
      </c>
      <c r="K4" s="16" t="s">
        <v>156</v>
      </c>
      <c r="L4" s="16" t="s">
        <v>157</v>
      </c>
      <c r="M4" s="31" t="s">
        <v>158</v>
      </c>
      <c r="N4" s="31" t="s">
        <v>159</v>
      </c>
      <c r="O4" s="31" t="s">
        <v>160</v>
      </c>
      <c r="P4" s="31" t="s">
        <v>161</v>
      </c>
      <c r="Q4" s="16" t="s">
        <v>162</v>
      </c>
      <c r="R4" s="16" t="s">
        <v>163</v>
      </c>
      <c r="S4" s="16" t="s">
        <v>164</v>
      </c>
    </row>
    <row r="5" spans="1:19" ht="58.5" customHeight="1" x14ac:dyDescent="0.2">
      <c r="A5" s="234" t="s">
        <v>128</v>
      </c>
      <c r="B5" s="212" t="s">
        <v>90</v>
      </c>
      <c r="C5" s="37" t="s">
        <v>10</v>
      </c>
      <c r="D5" s="10" t="s">
        <v>237</v>
      </c>
      <c r="E5" s="11">
        <v>44197</v>
      </c>
      <c r="F5" s="11">
        <v>44561</v>
      </c>
      <c r="G5" s="8"/>
      <c r="H5" s="43"/>
      <c r="I5" s="44"/>
      <c r="J5" s="44"/>
      <c r="K5" s="18"/>
      <c r="L5" s="18"/>
      <c r="M5" s="18"/>
      <c r="N5" s="18"/>
      <c r="O5" s="44"/>
      <c r="P5" s="18"/>
      <c r="Q5" s="44"/>
      <c r="R5" s="44"/>
      <c r="S5" s="18"/>
    </row>
    <row r="6" spans="1:19" ht="78.75" customHeight="1" x14ac:dyDescent="0.2">
      <c r="A6" s="234"/>
      <c r="B6" s="212"/>
      <c r="C6" s="37"/>
      <c r="D6" s="10" t="s">
        <v>238</v>
      </c>
      <c r="E6" s="11">
        <v>44197</v>
      </c>
      <c r="F6" s="11">
        <v>44561</v>
      </c>
      <c r="G6" s="8"/>
      <c r="H6" s="43"/>
      <c r="I6" s="44"/>
      <c r="J6" s="44"/>
      <c r="K6" s="18"/>
      <c r="L6" s="18"/>
      <c r="M6" s="18"/>
      <c r="N6" s="18"/>
      <c r="O6" s="44"/>
      <c r="P6" s="18"/>
      <c r="Q6" s="44"/>
      <c r="R6" s="44"/>
      <c r="S6" s="18"/>
    </row>
    <row r="7" spans="1:19" ht="78.75" customHeight="1" x14ac:dyDescent="0.2">
      <c r="A7" s="234"/>
      <c r="B7" s="212"/>
      <c r="C7" s="37"/>
      <c r="D7" s="10" t="s">
        <v>239</v>
      </c>
      <c r="E7" s="11">
        <v>44197</v>
      </c>
      <c r="F7" s="11">
        <v>44561</v>
      </c>
      <c r="G7" s="8"/>
      <c r="H7" s="43"/>
      <c r="I7" s="44"/>
      <c r="J7" s="44"/>
      <c r="K7" s="18"/>
      <c r="L7" s="18"/>
      <c r="M7" s="18"/>
      <c r="N7" s="18"/>
      <c r="O7" s="44"/>
      <c r="P7" s="18"/>
      <c r="Q7" s="44"/>
      <c r="R7" s="44"/>
      <c r="S7" s="18"/>
    </row>
    <row r="8" spans="1:19" ht="52.5" customHeight="1" x14ac:dyDescent="0.2">
      <c r="A8" s="234"/>
      <c r="B8" s="212"/>
      <c r="C8" s="37"/>
      <c r="D8" s="10" t="s">
        <v>240</v>
      </c>
      <c r="E8" s="11">
        <v>44197</v>
      </c>
      <c r="F8" s="11">
        <v>44561</v>
      </c>
      <c r="G8" s="8"/>
      <c r="H8" s="43"/>
      <c r="I8" s="44"/>
      <c r="J8" s="44"/>
      <c r="K8" s="18"/>
      <c r="L8" s="18"/>
      <c r="M8" s="18"/>
      <c r="N8" s="18"/>
      <c r="O8" s="44"/>
      <c r="P8" s="18"/>
      <c r="Q8" s="44"/>
      <c r="R8" s="44"/>
      <c r="S8" s="18"/>
    </row>
    <row r="9" spans="1:19" ht="70.5" customHeight="1" x14ac:dyDescent="0.2">
      <c r="A9" s="234"/>
      <c r="B9" s="212"/>
      <c r="C9" s="37"/>
      <c r="D9" s="10" t="s">
        <v>241</v>
      </c>
      <c r="E9" s="11">
        <v>44217</v>
      </c>
      <c r="F9" s="11">
        <v>44368</v>
      </c>
      <c r="G9" s="8"/>
      <c r="H9" s="43"/>
      <c r="I9" s="44"/>
      <c r="J9" s="44"/>
      <c r="K9" s="18"/>
      <c r="L9" s="18"/>
      <c r="M9" s="18"/>
      <c r="N9" s="18"/>
      <c r="O9" s="44"/>
      <c r="P9" s="18"/>
      <c r="Q9" s="44"/>
      <c r="R9" s="44"/>
      <c r="S9" s="18"/>
    </row>
    <row r="10" spans="1:19" ht="77.25" customHeight="1" x14ac:dyDescent="0.2">
      <c r="A10" s="234" t="s">
        <v>129</v>
      </c>
      <c r="B10" s="212" t="s">
        <v>91</v>
      </c>
      <c r="C10" s="213" t="s">
        <v>10</v>
      </c>
      <c r="D10" s="10" t="s">
        <v>242</v>
      </c>
      <c r="E10" s="11">
        <v>44197</v>
      </c>
      <c r="F10" s="11">
        <v>44561</v>
      </c>
      <c r="G10" s="9">
        <v>730811</v>
      </c>
      <c r="H10" s="42">
        <v>5500</v>
      </c>
      <c r="I10" s="44"/>
      <c r="J10" s="46">
        <f>H10+I10</f>
        <v>5500</v>
      </c>
      <c r="K10" s="109" t="s">
        <v>409</v>
      </c>
      <c r="L10" s="109" t="s">
        <v>364</v>
      </c>
      <c r="M10" s="124">
        <v>44315</v>
      </c>
      <c r="N10" s="122" t="s">
        <v>365</v>
      </c>
      <c r="O10" s="44">
        <f>5500-4884.15-29.74</f>
        <v>586.11000000000035</v>
      </c>
      <c r="P10" s="123">
        <v>4500000684</v>
      </c>
      <c r="Q10" s="47">
        <v>4884.1499999999996</v>
      </c>
      <c r="R10" s="47">
        <v>4884.1499999999996</v>
      </c>
      <c r="S10" s="33">
        <f>J10-O10-Q10</f>
        <v>29.739999999999782</v>
      </c>
    </row>
    <row r="11" spans="1:19" ht="45" x14ac:dyDescent="0.2">
      <c r="A11" s="234"/>
      <c r="B11" s="212"/>
      <c r="C11" s="213"/>
      <c r="D11" s="10" t="s">
        <v>243</v>
      </c>
      <c r="E11" s="11">
        <v>44197</v>
      </c>
      <c r="F11" s="11">
        <v>44561</v>
      </c>
      <c r="G11" s="8"/>
      <c r="H11" s="43"/>
      <c r="I11" s="44"/>
      <c r="J11" s="44"/>
      <c r="K11" s="18"/>
      <c r="L11" s="18"/>
      <c r="M11" s="18"/>
      <c r="N11" s="18"/>
      <c r="O11" s="44"/>
      <c r="P11" s="18"/>
      <c r="Q11" s="44"/>
      <c r="R11" s="44"/>
      <c r="S11" s="18"/>
    </row>
    <row r="12" spans="1:19" ht="90" customHeight="1" x14ac:dyDescent="0.2">
      <c r="A12" s="234"/>
      <c r="B12" s="212"/>
      <c r="C12" s="213"/>
      <c r="D12" s="10" t="s">
        <v>244</v>
      </c>
      <c r="E12" s="11">
        <v>44197</v>
      </c>
      <c r="F12" s="11">
        <v>44561</v>
      </c>
      <c r="G12" s="8"/>
      <c r="H12" s="43"/>
      <c r="I12" s="44"/>
      <c r="J12" s="44"/>
      <c r="K12" s="18"/>
      <c r="L12" s="18"/>
      <c r="M12" s="18"/>
      <c r="N12" s="18"/>
      <c r="O12" s="44"/>
      <c r="P12" s="18"/>
      <c r="Q12" s="44"/>
      <c r="R12" s="44"/>
      <c r="S12" s="18"/>
    </row>
    <row r="13" spans="1:19" ht="45" x14ac:dyDescent="0.2">
      <c r="A13" s="234"/>
      <c r="B13" s="212"/>
      <c r="C13" s="213"/>
      <c r="D13" s="10" t="s">
        <v>245</v>
      </c>
      <c r="E13" s="11">
        <v>44197</v>
      </c>
      <c r="F13" s="11">
        <v>44561</v>
      </c>
      <c r="G13" s="8"/>
      <c r="H13" s="43"/>
      <c r="I13" s="44"/>
      <c r="J13" s="44"/>
      <c r="K13" s="18"/>
      <c r="L13" s="18"/>
      <c r="M13" s="18"/>
      <c r="N13" s="18"/>
      <c r="O13" s="44"/>
      <c r="P13" s="18"/>
      <c r="Q13" s="44"/>
      <c r="R13" s="44"/>
      <c r="S13" s="18"/>
    </row>
    <row r="14" spans="1:19" x14ac:dyDescent="0.2">
      <c r="A14" s="220"/>
      <c r="B14" s="220"/>
      <c r="C14" s="220"/>
      <c r="D14" s="220"/>
      <c r="E14" s="220"/>
      <c r="F14" s="220"/>
      <c r="G14" s="221"/>
      <c r="H14" s="19">
        <f>SUM(H5:H13)</f>
        <v>5500</v>
      </c>
      <c r="I14" s="19">
        <f t="shared" ref="I14:J14" si="0">SUM(I5:I13)</f>
        <v>0</v>
      </c>
      <c r="J14" s="19">
        <f t="shared" si="0"/>
        <v>5500</v>
      </c>
      <c r="K14" s="205"/>
      <c r="L14" s="206"/>
      <c r="M14" s="206"/>
      <c r="N14" s="207"/>
      <c r="O14" s="19">
        <f t="shared" ref="O14" si="1">SUM(O5:O13)</f>
        <v>586.11000000000035</v>
      </c>
      <c r="P14" s="19"/>
      <c r="Q14" s="19">
        <f>SUM(Q5:Q13)</f>
        <v>4884.1499999999996</v>
      </c>
      <c r="R14" s="19">
        <f>SUM(R5:R13)</f>
        <v>4884.1499999999996</v>
      </c>
      <c r="S14" s="19">
        <f t="shared" ref="S14" si="2">SUM(S5:S13)</f>
        <v>29.739999999999782</v>
      </c>
    </row>
    <row r="15" spans="1:19" x14ac:dyDescent="0.2">
      <c r="A15" s="203"/>
      <c r="B15" s="203"/>
      <c r="C15" s="203"/>
      <c r="D15" s="203"/>
      <c r="E15" s="203"/>
      <c r="F15" s="203"/>
      <c r="G15" s="204"/>
      <c r="H15" s="26">
        <f>+H14</f>
        <v>5500</v>
      </c>
      <c r="I15" s="26">
        <f t="shared" ref="I15:J15" si="3">+I14</f>
        <v>0</v>
      </c>
      <c r="J15" s="26">
        <f t="shared" si="3"/>
        <v>5500</v>
      </c>
      <c r="K15" s="208"/>
      <c r="L15" s="209"/>
      <c r="M15" s="209"/>
      <c r="N15" s="210"/>
      <c r="O15" s="26">
        <f t="shared" ref="O15" si="4">+O14</f>
        <v>586.11000000000035</v>
      </c>
      <c r="P15" s="26"/>
      <c r="Q15" s="26">
        <f t="shared" ref="Q15" si="5">+Q14</f>
        <v>4884.1499999999996</v>
      </c>
      <c r="R15" s="26">
        <f t="shared" ref="R15" si="6">+R14</f>
        <v>4884.1499999999996</v>
      </c>
      <c r="S15" s="26">
        <f t="shared" ref="S15" si="7">+S14</f>
        <v>29.739999999999782</v>
      </c>
    </row>
    <row r="17" spans="18:19" ht="12.75" x14ac:dyDescent="0.2">
      <c r="R17" s="131" t="s">
        <v>310</v>
      </c>
      <c r="S17" s="92"/>
    </row>
  </sheetData>
  <mergeCells count="9">
    <mergeCell ref="K14:N14"/>
    <mergeCell ref="A15:G15"/>
    <mergeCell ref="K15:N15"/>
    <mergeCell ref="C10:C13"/>
    <mergeCell ref="A5:A9"/>
    <mergeCell ref="B5:B9"/>
    <mergeCell ref="A10:A13"/>
    <mergeCell ref="B10:B13"/>
    <mergeCell ref="A14:G14"/>
  </mergeCells>
  <pageMargins left="0.31496062992125984" right="0" top="0.55118110236220474" bottom="0.19685039370078741" header="0.31496062992125984" footer="0.31496062992125984"/>
  <pageSetup scale="65"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CC"/>
  </sheetPr>
  <dimension ref="A1:V27"/>
  <sheetViews>
    <sheetView zoomScaleNormal="100" workbookViewId="0">
      <pane xSplit="10" ySplit="4" topLeftCell="K8" activePane="bottomRight" state="frozen"/>
      <selection pane="topRight" activeCell="K1" sqref="K1"/>
      <selection pane="bottomLeft" activeCell="A6" sqref="A6"/>
      <selection pane="bottomRight" activeCell="A25" sqref="A25:G25"/>
    </sheetView>
  </sheetViews>
  <sheetFormatPr baseColWidth="10" defaultRowHeight="11.25" x14ac:dyDescent="0.2"/>
  <cols>
    <col min="1" max="2" width="11.42578125" style="5"/>
    <col min="3" max="3" width="9" style="5" customWidth="1"/>
    <col min="4" max="4" width="23.140625" style="5" customWidth="1"/>
    <col min="5" max="5" width="7.7109375" style="5" hidden="1" customWidth="1"/>
    <col min="6" max="6" width="9.42578125" style="5" hidden="1" customWidth="1"/>
    <col min="7" max="7" width="11.42578125" style="5"/>
    <col min="8" max="8" width="10.5703125" style="23" customWidth="1"/>
    <col min="9" max="9" width="11.42578125" style="23"/>
    <col min="10" max="10" width="9.85546875" style="23" customWidth="1"/>
    <col min="11" max="11" width="15.140625" style="5" customWidth="1"/>
    <col min="12" max="12" width="17.85546875" style="5" customWidth="1"/>
    <col min="13" max="13" width="14.140625" style="5" customWidth="1"/>
    <col min="14" max="14" width="11.42578125" style="5"/>
    <col min="15" max="15" width="13.5703125" style="23" customWidth="1"/>
    <col min="16" max="16" width="13.42578125" style="5" customWidth="1"/>
    <col min="17" max="17" width="14.42578125" style="23" customWidth="1"/>
    <col min="18" max="18" width="9.42578125" style="23" customWidth="1"/>
    <col min="19" max="19" width="9.5703125" style="5" customWidth="1"/>
    <col min="20" max="16384" width="11.42578125" style="5"/>
  </cols>
  <sheetData>
    <row r="1" spans="1:22" s="36" customFormat="1" ht="12.75" x14ac:dyDescent="0.2">
      <c r="A1" s="34" t="s">
        <v>146</v>
      </c>
      <c r="B1" s="34" t="s">
        <v>153</v>
      </c>
      <c r="C1" s="35"/>
      <c r="D1" s="35"/>
      <c r="E1" s="35"/>
      <c r="F1" s="35"/>
      <c r="G1" s="35"/>
      <c r="H1" s="39"/>
      <c r="I1" s="40"/>
      <c r="J1" s="40"/>
      <c r="O1" s="40"/>
      <c r="Q1" s="40"/>
      <c r="R1" s="40"/>
    </row>
    <row r="2" spans="1:22" s="36" customFormat="1" ht="12.75" x14ac:dyDescent="0.2">
      <c r="A2" s="34" t="s">
        <v>147</v>
      </c>
      <c r="B2" s="34" t="s">
        <v>92</v>
      </c>
      <c r="C2" s="34"/>
      <c r="D2" s="34"/>
      <c r="H2" s="40"/>
      <c r="I2" s="40"/>
      <c r="J2" s="40"/>
      <c r="O2" s="40"/>
      <c r="Q2" s="40"/>
      <c r="R2" s="40"/>
    </row>
    <row r="3" spans="1:22" ht="5.25" customHeight="1" x14ac:dyDescent="0.2">
      <c r="A3" s="14"/>
      <c r="B3" s="14"/>
      <c r="C3" s="14"/>
    </row>
    <row r="4" spans="1:22" ht="33.75" x14ac:dyDescent="0.2">
      <c r="A4" s="2" t="s">
        <v>0</v>
      </c>
      <c r="B4" s="2" t="s">
        <v>1</v>
      </c>
      <c r="C4" s="3" t="s">
        <v>2</v>
      </c>
      <c r="D4" s="3" t="s">
        <v>3</v>
      </c>
      <c r="E4" s="3" t="s">
        <v>4</v>
      </c>
      <c r="F4" s="3" t="s">
        <v>5</v>
      </c>
      <c r="G4" s="3" t="s">
        <v>6</v>
      </c>
      <c r="H4" s="41" t="s">
        <v>169</v>
      </c>
      <c r="I4" s="16" t="s">
        <v>154</v>
      </c>
      <c r="J4" s="16" t="s">
        <v>155</v>
      </c>
      <c r="K4" s="16" t="s">
        <v>156</v>
      </c>
      <c r="L4" s="16" t="s">
        <v>157</v>
      </c>
      <c r="M4" s="16" t="s">
        <v>158</v>
      </c>
      <c r="N4" s="16" t="s">
        <v>159</v>
      </c>
      <c r="O4" s="16" t="s">
        <v>160</v>
      </c>
      <c r="P4" s="16" t="s">
        <v>161</v>
      </c>
      <c r="Q4" s="16" t="s">
        <v>162</v>
      </c>
      <c r="R4" s="16" t="s">
        <v>163</v>
      </c>
      <c r="S4" s="16" t="s">
        <v>164</v>
      </c>
    </row>
    <row r="5" spans="1:22" ht="33" customHeight="1" x14ac:dyDescent="0.2">
      <c r="A5" s="234" t="s">
        <v>130</v>
      </c>
      <c r="B5" s="212" t="s">
        <v>93</v>
      </c>
      <c r="C5" s="213" t="s">
        <v>10</v>
      </c>
      <c r="D5" s="10" t="s">
        <v>246</v>
      </c>
      <c r="E5" s="11">
        <v>44197</v>
      </c>
      <c r="F5" s="11">
        <v>44561</v>
      </c>
      <c r="G5" s="9">
        <v>731404</v>
      </c>
      <c r="H5" s="42">
        <v>200</v>
      </c>
      <c r="I5" s="42">
        <v>-200</v>
      </c>
      <c r="J5" s="46">
        <f>H5+I5</f>
        <v>0</v>
      </c>
      <c r="K5" s="18"/>
      <c r="L5" s="18"/>
      <c r="M5" s="18"/>
      <c r="N5" s="18"/>
      <c r="O5" s="44"/>
      <c r="P5" s="18"/>
      <c r="Q5" s="44"/>
      <c r="R5" s="44"/>
      <c r="S5" s="33">
        <f>J5-O5-Q5</f>
        <v>0</v>
      </c>
    </row>
    <row r="6" spans="1:22" ht="22.5" x14ac:dyDescent="0.2">
      <c r="A6" s="234"/>
      <c r="B6" s="212"/>
      <c r="C6" s="213"/>
      <c r="D6" s="214" t="s">
        <v>247</v>
      </c>
      <c r="E6" s="202">
        <v>44197</v>
      </c>
      <c r="F6" s="202">
        <v>44561</v>
      </c>
      <c r="G6" s="190">
        <v>840106</v>
      </c>
      <c r="H6" s="259">
        <v>7500</v>
      </c>
      <c r="I6" s="259"/>
      <c r="J6" s="244">
        <f t="shared" ref="J6:J16" si="0">H6+I6</f>
        <v>7500</v>
      </c>
      <c r="K6" s="18" t="s">
        <v>373</v>
      </c>
      <c r="L6" s="109" t="s">
        <v>348</v>
      </c>
      <c r="M6" s="124">
        <v>44299</v>
      </c>
      <c r="N6" s="107" t="s">
        <v>350</v>
      </c>
      <c r="O6" s="44">
        <f>3128.29-3128.29</f>
        <v>0</v>
      </c>
      <c r="P6" s="18">
        <v>4700018863</v>
      </c>
      <c r="Q6" s="44">
        <v>3128.29</v>
      </c>
      <c r="R6" s="44">
        <v>3128.29</v>
      </c>
      <c r="S6" s="247">
        <f>J6-O6-O7-Q6-Q7</f>
        <v>2275.73</v>
      </c>
    </row>
    <row r="7" spans="1:22" ht="22.5" x14ac:dyDescent="0.2">
      <c r="A7" s="234"/>
      <c r="B7" s="212"/>
      <c r="C7" s="213"/>
      <c r="D7" s="214"/>
      <c r="E7" s="202"/>
      <c r="F7" s="202"/>
      <c r="G7" s="191"/>
      <c r="H7" s="261"/>
      <c r="I7" s="261"/>
      <c r="J7" s="246"/>
      <c r="K7" s="18" t="s">
        <v>373</v>
      </c>
      <c r="L7" s="109" t="s">
        <v>349</v>
      </c>
      <c r="M7" s="124">
        <v>44299</v>
      </c>
      <c r="N7" s="107" t="s">
        <v>351</v>
      </c>
      <c r="O7" s="44">
        <f>2095.98-2095.98</f>
        <v>0</v>
      </c>
      <c r="P7" s="18">
        <v>4700018864</v>
      </c>
      <c r="Q7" s="44">
        <v>2095.98</v>
      </c>
      <c r="R7" s="44">
        <v>2095.98</v>
      </c>
      <c r="S7" s="249"/>
    </row>
    <row r="8" spans="1:22" x14ac:dyDescent="0.2">
      <c r="A8" s="234"/>
      <c r="B8" s="212"/>
      <c r="C8" s="213"/>
      <c r="D8" s="214"/>
      <c r="E8" s="202"/>
      <c r="F8" s="202"/>
      <c r="G8" s="9">
        <v>731404</v>
      </c>
      <c r="H8" s="42">
        <v>1000</v>
      </c>
      <c r="I8" s="42">
        <v>-1000</v>
      </c>
      <c r="J8" s="46">
        <f t="shared" si="0"/>
        <v>0</v>
      </c>
      <c r="K8" s="18"/>
      <c r="L8" s="18"/>
      <c r="M8" s="18"/>
      <c r="N8" s="18"/>
      <c r="O8" s="44"/>
      <c r="P8" s="18"/>
      <c r="Q8" s="44"/>
      <c r="R8" s="44"/>
      <c r="S8" s="33">
        <f t="shared" ref="S8:S16" si="1">J8-O8-Q8</f>
        <v>0</v>
      </c>
    </row>
    <row r="9" spans="1:22" x14ac:dyDescent="0.2">
      <c r="A9" s="234"/>
      <c r="B9" s="212"/>
      <c r="C9" s="213"/>
      <c r="D9" s="214"/>
      <c r="E9" s="202"/>
      <c r="F9" s="202"/>
      <c r="G9" s="9">
        <v>731406</v>
      </c>
      <c r="H9" s="42">
        <v>3000</v>
      </c>
      <c r="I9" s="42">
        <v>-3000</v>
      </c>
      <c r="J9" s="46">
        <f t="shared" si="0"/>
        <v>0</v>
      </c>
      <c r="K9" s="18"/>
      <c r="L9" s="18"/>
      <c r="M9" s="18"/>
      <c r="N9" s="18"/>
      <c r="O9" s="44"/>
      <c r="P9" s="18"/>
      <c r="Q9" s="44"/>
      <c r="R9" s="44"/>
      <c r="S9" s="33">
        <f t="shared" si="1"/>
        <v>0</v>
      </c>
    </row>
    <row r="10" spans="1:22" ht="22.5" x14ac:dyDescent="0.2">
      <c r="A10" s="234"/>
      <c r="B10" s="212"/>
      <c r="C10" s="213"/>
      <c r="D10" s="214"/>
      <c r="E10" s="202"/>
      <c r="F10" s="202"/>
      <c r="G10" s="9">
        <v>730811</v>
      </c>
      <c r="H10" s="42">
        <v>17584.060000000001</v>
      </c>
      <c r="I10" s="42"/>
      <c r="J10" s="46">
        <f t="shared" si="0"/>
        <v>17584.060000000001</v>
      </c>
      <c r="K10" s="18" t="s">
        <v>410</v>
      </c>
      <c r="L10" s="109" t="s">
        <v>360</v>
      </c>
      <c r="M10" s="124">
        <v>44315</v>
      </c>
      <c r="N10" s="107" t="s">
        <v>361</v>
      </c>
      <c r="O10" s="128">
        <f>17584.06-15730.21-17.73</f>
        <v>1836.1200000000022</v>
      </c>
      <c r="P10" s="18">
        <v>4500000686</v>
      </c>
      <c r="Q10" s="44">
        <v>15730.21</v>
      </c>
      <c r="R10" s="44">
        <v>15730.21</v>
      </c>
      <c r="S10" s="33">
        <f t="shared" si="1"/>
        <v>17.729999999999563</v>
      </c>
    </row>
    <row r="11" spans="1:22" ht="22.5" customHeight="1" x14ac:dyDescent="0.2">
      <c r="A11" s="234"/>
      <c r="B11" s="212"/>
      <c r="C11" s="213"/>
      <c r="D11" s="214" t="s">
        <v>248</v>
      </c>
      <c r="E11" s="202">
        <v>44197</v>
      </c>
      <c r="F11" s="202">
        <v>44561</v>
      </c>
      <c r="G11" s="190">
        <v>730805</v>
      </c>
      <c r="H11" s="259">
        <v>1000</v>
      </c>
      <c r="I11" s="259"/>
      <c r="J11" s="244">
        <f t="shared" si="0"/>
        <v>1000</v>
      </c>
      <c r="K11" s="109" t="s">
        <v>444</v>
      </c>
      <c r="L11" s="18" t="s">
        <v>412</v>
      </c>
      <c r="M11" s="124">
        <v>44399</v>
      </c>
      <c r="N11" s="107" t="s">
        <v>443</v>
      </c>
      <c r="O11" s="128">
        <f>502.04-448.25-53.79</f>
        <v>0</v>
      </c>
      <c r="P11" s="18">
        <v>4700019142</v>
      </c>
      <c r="Q11" s="44">
        <v>448.25</v>
      </c>
      <c r="R11" s="44">
        <v>448.25</v>
      </c>
      <c r="S11" s="247">
        <f>J11-O11-O12-O13-O14-O15-Q11-Q12-Q13-Q14-Q15</f>
        <v>252.08999999999997</v>
      </c>
    </row>
    <row r="12" spans="1:22" ht="22.5" customHeight="1" x14ac:dyDescent="0.2">
      <c r="A12" s="234"/>
      <c r="B12" s="212"/>
      <c r="C12" s="213"/>
      <c r="D12" s="214"/>
      <c r="E12" s="202"/>
      <c r="F12" s="202"/>
      <c r="G12" s="201"/>
      <c r="H12" s="260"/>
      <c r="I12" s="260"/>
      <c r="J12" s="245"/>
      <c r="K12" s="18" t="s">
        <v>446</v>
      </c>
      <c r="L12" s="231" t="s">
        <v>412</v>
      </c>
      <c r="M12" s="250">
        <v>44397</v>
      </c>
      <c r="N12" s="256" t="s">
        <v>445</v>
      </c>
      <c r="O12" s="253">
        <f>497.77-124.43-90.18-18.6-66.45-53.33-144.78</f>
        <v>0</v>
      </c>
      <c r="P12" s="18">
        <v>4100008725</v>
      </c>
      <c r="Q12" s="44">
        <v>124.43</v>
      </c>
      <c r="R12" s="44">
        <v>124.43</v>
      </c>
      <c r="S12" s="248"/>
    </row>
    <row r="13" spans="1:22" ht="22.5" customHeight="1" x14ac:dyDescent="0.2">
      <c r="A13" s="234"/>
      <c r="B13" s="212"/>
      <c r="C13" s="213"/>
      <c r="D13" s="214"/>
      <c r="E13" s="202"/>
      <c r="F13" s="202"/>
      <c r="G13" s="201"/>
      <c r="H13" s="260"/>
      <c r="I13" s="260"/>
      <c r="J13" s="245"/>
      <c r="K13" s="109" t="s">
        <v>451</v>
      </c>
      <c r="L13" s="232"/>
      <c r="M13" s="251"/>
      <c r="N13" s="257"/>
      <c r="O13" s="254"/>
      <c r="P13" s="18">
        <v>4100008793</v>
      </c>
      <c r="Q13" s="44">
        <v>90.18</v>
      </c>
      <c r="R13" s="44">
        <v>90.18</v>
      </c>
      <c r="S13" s="248"/>
    </row>
    <row r="14" spans="1:22" ht="22.5" customHeight="1" x14ac:dyDescent="0.2">
      <c r="A14" s="234"/>
      <c r="B14" s="212"/>
      <c r="C14" s="213"/>
      <c r="D14" s="214"/>
      <c r="E14" s="202"/>
      <c r="F14" s="202"/>
      <c r="G14" s="201"/>
      <c r="H14" s="260"/>
      <c r="I14" s="260"/>
      <c r="J14" s="245"/>
      <c r="K14" s="109" t="s">
        <v>453</v>
      </c>
      <c r="L14" s="232"/>
      <c r="M14" s="251"/>
      <c r="N14" s="257"/>
      <c r="O14" s="254"/>
      <c r="P14" s="18">
        <v>4100008789</v>
      </c>
      <c r="Q14" s="44">
        <v>18.600000000000001</v>
      </c>
      <c r="R14" s="44">
        <v>18.600000000000001</v>
      </c>
      <c r="S14" s="248"/>
    </row>
    <row r="15" spans="1:22" ht="19.5" customHeight="1" x14ac:dyDescent="0.2">
      <c r="A15" s="234"/>
      <c r="B15" s="212"/>
      <c r="C15" s="213"/>
      <c r="D15" s="214"/>
      <c r="E15" s="202"/>
      <c r="F15" s="202"/>
      <c r="G15" s="191"/>
      <c r="H15" s="261"/>
      <c r="I15" s="261"/>
      <c r="J15" s="246"/>
      <c r="K15" s="18" t="s">
        <v>454</v>
      </c>
      <c r="L15" s="240"/>
      <c r="M15" s="252"/>
      <c r="N15" s="258"/>
      <c r="O15" s="255"/>
      <c r="P15" s="18">
        <v>4100008787</v>
      </c>
      <c r="Q15" s="44">
        <v>66.45</v>
      </c>
      <c r="R15" s="44">
        <v>66.45</v>
      </c>
      <c r="S15" s="249"/>
      <c r="T15" s="140"/>
      <c r="U15" s="142"/>
      <c r="V15" s="143"/>
    </row>
    <row r="16" spans="1:22" ht="22.5" customHeight="1" x14ac:dyDescent="0.2">
      <c r="A16" s="234"/>
      <c r="B16" s="212"/>
      <c r="C16" s="213"/>
      <c r="D16" s="214"/>
      <c r="E16" s="202"/>
      <c r="F16" s="202"/>
      <c r="G16" s="9">
        <v>730203</v>
      </c>
      <c r="H16" s="42">
        <v>1200</v>
      </c>
      <c r="I16" s="42"/>
      <c r="J16" s="46">
        <f t="shared" si="0"/>
        <v>1200</v>
      </c>
      <c r="K16" s="18"/>
      <c r="L16" s="18"/>
      <c r="M16" s="18"/>
      <c r="N16" s="18"/>
      <c r="O16" s="128"/>
      <c r="P16" s="18"/>
      <c r="Q16" s="44"/>
      <c r="R16" s="44"/>
      <c r="S16" s="33">
        <f t="shared" si="1"/>
        <v>1200</v>
      </c>
      <c r="T16" s="140"/>
      <c r="U16" s="143"/>
      <c r="V16" s="143"/>
    </row>
    <row r="17" spans="1:22" ht="27.75" customHeight="1" x14ac:dyDescent="0.2">
      <c r="A17" s="234"/>
      <c r="B17" s="212"/>
      <c r="C17" s="213"/>
      <c r="D17" s="214"/>
      <c r="E17" s="202"/>
      <c r="F17" s="202"/>
      <c r="G17" s="190">
        <v>730820</v>
      </c>
      <c r="H17" s="259">
        <v>2000</v>
      </c>
      <c r="I17" s="259"/>
      <c r="J17" s="244">
        <f>H17+I20</f>
        <v>2000</v>
      </c>
      <c r="K17" s="109" t="s">
        <v>374</v>
      </c>
      <c r="L17" s="109" t="s">
        <v>375</v>
      </c>
      <c r="M17" s="250">
        <v>44299</v>
      </c>
      <c r="N17" s="226" t="s">
        <v>352</v>
      </c>
      <c r="O17" s="253">
        <f>2000-224-343.06-672-672-88.94</f>
        <v>0</v>
      </c>
      <c r="P17" s="18">
        <v>41000058086</v>
      </c>
      <c r="Q17" s="44">
        <v>224</v>
      </c>
      <c r="R17" s="44">
        <v>224</v>
      </c>
      <c r="S17" s="247">
        <f>J17-O17-Q20-Q17-Q19-Q18</f>
        <v>88.940000000000055</v>
      </c>
      <c r="T17" s="142"/>
      <c r="U17" s="143"/>
      <c r="V17" s="142"/>
    </row>
    <row r="18" spans="1:22" ht="36" customHeight="1" x14ac:dyDescent="0.2">
      <c r="A18" s="234"/>
      <c r="B18" s="212"/>
      <c r="C18" s="213"/>
      <c r="D18" s="214"/>
      <c r="E18" s="202"/>
      <c r="F18" s="202"/>
      <c r="G18" s="201"/>
      <c r="H18" s="260"/>
      <c r="I18" s="260"/>
      <c r="J18" s="245"/>
      <c r="K18" s="109" t="s">
        <v>384</v>
      </c>
      <c r="L18" s="109" t="s">
        <v>385</v>
      </c>
      <c r="M18" s="251"/>
      <c r="N18" s="230"/>
      <c r="O18" s="254"/>
      <c r="P18" s="18">
        <v>4100008611</v>
      </c>
      <c r="Q18" s="44">
        <v>672</v>
      </c>
      <c r="R18" s="44">
        <v>672</v>
      </c>
      <c r="S18" s="248"/>
    </row>
    <row r="19" spans="1:22" ht="27.75" customHeight="1" x14ac:dyDescent="0.2">
      <c r="A19" s="234"/>
      <c r="B19" s="212"/>
      <c r="C19" s="213"/>
      <c r="D19" s="214"/>
      <c r="E19" s="202"/>
      <c r="F19" s="202"/>
      <c r="G19" s="201"/>
      <c r="H19" s="260"/>
      <c r="I19" s="260"/>
      <c r="J19" s="245"/>
      <c r="K19" s="109" t="s">
        <v>382</v>
      </c>
      <c r="L19" s="109" t="s">
        <v>383</v>
      </c>
      <c r="M19" s="251"/>
      <c r="N19" s="230"/>
      <c r="O19" s="254"/>
      <c r="P19" s="18">
        <v>4100008570</v>
      </c>
      <c r="Q19" s="44">
        <v>672</v>
      </c>
      <c r="R19" s="44">
        <v>672</v>
      </c>
      <c r="S19" s="248"/>
    </row>
    <row r="20" spans="1:22" ht="22.5" x14ac:dyDescent="0.2">
      <c r="A20" s="234"/>
      <c r="B20" s="212"/>
      <c r="C20" s="213"/>
      <c r="D20" s="214"/>
      <c r="E20" s="202"/>
      <c r="F20" s="202"/>
      <c r="G20" s="191"/>
      <c r="H20" s="261"/>
      <c r="I20" s="261"/>
      <c r="J20" s="246"/>
      <c r="K20" s="109" t="s">
        <v>374</v>
      </c>
      <c r="L20" s="18" t="s">
        <v>353</v>
      </c>
      <c r="M20" s="252"/>
      <c r="N20" s="227"/>
      <c r="O20" s="255"/>
      <c r="P20" s="18">
        <v>4100008562</v>
      </c>
      <c r="Q20" s="44">
        <v>343.06</v>
      </c>
      <c r="R20" s="44">
        <v>343.06</v>
      </c>
      <c r="S20" s="249"/>
    </row>
    <row r="21" spans="1:22" ht="30.75" customHeight="1" x14ac:dyDescent="0.2">
      <c r="A21" s="234"/>
      <c r="B21" s="212"/>
      <c r="C21" s="213"/>
      <c r="D21" s="10" t="s">
        <v>249</v>
      </c>
      <c r="E21" s="11">
        <v>44197</v>
      </c>
      <c r="F21" s="11">
        <v>44561</v>
      </c>
      <c r="G21" s="8"/>
      <c r="H21" s="43"/>
      <c r="I21" s="44"/>
      <c r="J21" s="44"/>
      <c r="K21" s="18"/>
      <c r="L21" s="18"/>
      <c r="M21" s="18"/>
      <c r="N21" s="18"/>
      <c r="O21" s="128"/>
      <c r="P21" s="18"/>
      <c r="Q21" s="44"/>
      <c r="R21" s="44"/>
      <c r="S21" s="18"/>
    </row>
    <row r="22" spans="1:22" ht="42" customHeight="1" x14ac:dyDescent="0.2">
      <c r="A22" s="234"/>
      <c r="B22" s="212"/>
      <c r="C22" s="213"/>
      <c r="D22" s="10" t="s">
        <v>250</v>
      </c>
      <c r="E22" s="11">
        <v>44197</v>
      </c>
      <c r="F22" s="11">
        <v>44561</v>
      </c>
      <c r="G22" s="8">
        <v>730802</v>
      </c>
      <c r="H22" s="43"/>
      <c r="I22" s="44">
        <v>4200</v>
      </c>
      <c r="J22" s="46">
        <f t="shared" ref="J22:J23" si="2">H22+I22</f>
        <v>4200</v>
      </c>
      <c r="K22" s="109" t="s">
        <v>493</v>
      </c>
      <c r="L22" s="109" t="s">
        <v>418</v>
      </c>
      <c r="M22" s="121">
        <v>44406</v>
      </c>
      <c r="N22" s="121" t="s">
        <v>419</v>
      </c>
      <c r="O22" s="128">
        <f>4199.99-450-3746</f>
        <v>3.9899999999997817</v>
      </c>
      <c r="P22" s="18">
        <v>4700019389</v>
      </c>
      <c r="Q22" s="44">
        <v>3746</v>
      </c>
      <c r="R22" s="44">
        <v>3746</v>
      </c>
      <c r="S22" s="33">
        <f t="shared" ref="S22" si="3">J22-O22-Q22</f>
        <v>450.01000000000022</v>
      </c>
    </row>
    <row r="23" spans="1:22" ht="66" customHeight="1" x14ac:dyDescent="0.2">
      <c r="A23" s="234"/>
      <c r="B23" s="212"/>
      <c r="C23" s="213"/>
      <c r="D23" s="10" t="s">
        <v>251</v>
      </c>
      <c r="E23" s="11">
        <v>44197</v>
      </c>
      <c r="F23" s="11">
        <v>44561</v>
      </c>
      <c r="G23" s="9">
        <v>840107</v>
      </c>
      <c r="H23" s="42">
        <v>9500</v>
      </c>
      <c r="I23" s="44"/>
      <c r="J23" s="46">
        <f t="shared" si="2"/>
        <v>9500</v>
      </c>
      <c r="K23" s="18"/>
      <c r="L23" s="18"/>
      <c r="M23" s="18"/>
      <c r="N23" s="18"/>
      <c r="O23" s="128"/>
      <c r="P23" s="18"/>
      <c r="Q23" s="44"/>
      <c r="R23" s="44"/>
      <c r="S23" s="33">
        <f t="shared" ref="S23" si="4">J23-O23-Q23</f>
        <v>9500</v>
      </c>
    </row>
    <row r="24" spans="1:22" x14ac:dyDescent="0.2">
      <c r="A24" s="220"/>
      <c r="B24" s="220"/>
      <c r="C24" s="220"/>
      <c r="D24" s="220"/>
      <c r="E24" s="220"/>
      <c r="F24" s="220"/>
      <c r="G24" s="221"/>
      <c r="H24" s="19">
        <f>SUM(H5:H23)</f>
        <v>42984.06</v>
      </c>
      <c r="I24" s="19">
        <f t="shared" ref="I24:J24" si="5">SUM(I5:I23)</f>
        <v>0</v>
      </c>
      <c r="J24" s="19">
        <f t="shared" si="5"/>
        <v>42984.06</v>
      </c>
      <c r="K24" s="205"/>
      <c r="L24" s="206"/>
      <c r="M24" s="206"/>
      <c r="N24" s="207"/>
      <c r="O24" s="19">
        <f t="shared" ref="O24" si="6">SUM(O5:O23)</f>
        <v>1840.1100000000019</v>
      </c>
      <c r="P24" s="19"/>
      <c r="Q24" s="19">
        <f t="shared" ref="Q24" si="7">SUM(Q5:Q23)</f>
        <v>27359.45</v>
      </c>
      <c r="R24" s="19">
        <f t="shared" ref="R24" si="8">SUM(R5:R23)</f>
        <v>27359.45</v>
      </c>
      <c r="S24" s="19">
        <f t="shared" ref="S24" si="9">SUM(S5:S23)</f>
        <v>13784.5</v>
      </c>
    </row>
    <row r="25" spans="1:22" x14ac:dyDescent="0.2">
      <c r="A25" s="203"/>
      <c r="B25" s="203"/>
      <c r="C25" s="203"/>
      <c r="D25" s="203"/>
      <c r="E25" s="203"/>
      <c r="F25" s="203"/>
      <c r="G25" s="204"/>
      <c r="H25" s="26">
        <f>+H24</f>
        <v>42984.06</v>
      </c>
      <c r="I25" s="26">
        <f t="shared" ref="I25:J25" si="10">+I24</f>
        <v>0</v>
      </c>
      <c r="J25" s="26">
        <f t="shared" si="10"/>
        <v>42984.06</v>
      </c>
      <c r="K25" s="208"/>
      <c r="L25" s="209"/>
      <c r="M25" s="209"/>
      <c r="N25" s="210"/>
      <c r="O25" s="26">
        <f t="shared" ref="O25" si="11">+O24</f>
        <v>1840.1100000000019</v>
      </c>
      <c r="P25" s="26"/>
      <c r="Q25" s="26">
        <f t="shared" ref="Q25" si="12">+Q24</f>
        <v>27359.45</v>
      </c>
      <c r="R25" s="26">
        <f t="shared" ref="R25" si="13">+R24</f>
        <v>27359.45</v>
      </c>
      <c r="S25" s="26">
        <f t="shared" ref="S25" si="14">+S24</f>
        <v>13784.5</v>
      </c>
    </row>
    <row r="27" spans="1:22" ht="12.75" x14ac:dyDescent="0.2">
      <c r="R27" s="131" t="s">
        <v>310</v>
      </c>
      <c r="S27" s="92"/>
    </row>
  </sheetData>
  <mergeCells count="35">
    <mergeCell ref="J6:J7"/>
    <mergeCell ref="S6:S7"/>
    <mergeCell ref="A25:G25"/>
    <mergeCell ref="K25:N25"/>
    <mergeCell ref="A5:A23"/>
    <mergeCell ref="B5:B23"/>
    <mergeCell ref="C5:C23"/>
    <mergeCell ref="A24:G24"/>
    <mergeCell ref="K24:N24"/>
    <mergeCell ref="D6:D10"/>
    <mergeCell ref="E6:E10"/>
    <mergeCell ref="F6:F10"/>
    <mergeCell ref="D11:D20"/>
    <mergeCell ref="E11:E20"/>
    <mergeCell ref="F11:F20"/>
    <mergeCell ref="G6:G7"/>
    <mergeCell ref="G17:G20"/>
    <mergeCell ref="H17:H20"/>
    <mergeCell ref="I17:I20"/>
    <mergeCell ref="H6:H7"/>
    <mergeCell ref="I6:I7"/>
    <mergeCell ref="G11:G15"/>
    <mergeCell ref="H11:H15"/>
    <mergeCell ref="I11:I15"/>
    <mergeCell ref="J11:J15"/>
    <mergeCell ref="S11:S15"/>
    <mergeCell ref="J17:J20"/>
    <mergeCell ref="M17:M20"/>
    <mergeCell ref="N17:N20"/>
    <mergeCell ref="O17:O20"/>
    <mergeCell ref="S17:S20"/>
    <mergeCell ref="N12:N15"/>
    <mergeCell ref="O12:O15"/>
    <mergeCell ref="M12:M15"/>
    <mergeCell ref="L12:L15"/>
  </mergeCells>
  <pageMargins left="0.31496062992125984" right="0" top="0.55118110236220474" bottom="0.15748031496062992" header="0.31496062992125984" footer="0.31496062992125984"/>
  <pageSetup paperSize="9" scale="65"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6600"/>
  </sheetPr>
  <dimension ref="A1:S20"/>
  <sheetViews>
    <sheetView workbookViewId="0">
      <selection activeCell="D8" sqref="D8"/>
    </sheetView>
  </sheetViews>
  <sheetFormatPr baseColWidth="10" defaultRowHeight="11.25" x14ac:dyDescent="0.2"/>
  <cols>
    <col min="1" max="1" width="17.42578125" style="5" customWidth="1"/>
    <col min="2" max="2" width="14.7109375" style="5" customWidth="1"/>
    <col min="3" max="3" width="9" style="5" customWidth="1"/>
    <col min="4" max="4" width="23" style="5" customWidth="1"/>
    <col min="5" max="5" width="7.85546875" style="5" customWidth="1"/>
    <col min="6" max="6" width="9.42578125" style="5" customWidth="1"/>
    <col min="7" max="7" width="9" style="5" customWidth="1"/>
    <col min="8" max="8" width="10" style="23" customWidth="1"/>
    <col min="9" max="9" width="10.140625" style="23" customWidth="1"/>
    <col min="10" max="10" width="9.42578125" style="23" customWidth="1"/>
    <col min="11" max="11" width="11.42578125" style="5"/>
    <col min="12" max="12" width="14.85546875" style="5" customWidth="1"/>
    <col min="13" max="13" width="11.28515625" style="5" customWidth="1"/>
    <col min="14" max="14" width="9.42578125" style="5" customWidth="1"/>
    <col min="15" max="15" width="9.140625" style="23" customWidth="1"/>
    <col min="16" max="16" width="9.85546875" style="5" customWidth="1"/>
    <col min="17" max="17" width="10.140625" style="23" customWidth="1"/>
    <col min="18" max="16384" width="11.42578125" style="5"/>
  </cols>
  <sheetData>
    <row r="1" spans="1:19" s="36" customFormat="1" ht="12.75" x14ac:dyDescent="0.2">
      <c r="A1" s="34" t="s">
        <v>146</v>
      </c>
      <c r="B1" s="34" t="s">
        <v>82</v>
      </c>
      <c r="C1" s="35"/>
      <c r="D1" s="35"/>
      <c r="E1" s="35"/>
      <c r="F1" s="35"/>
      <c r="G1" s="35"/>
      <c r="H1" s="39"/>
      <c r="I1" s="40"/>
      <c r="J1" s="40"/>
      <c r="O1" s="40"/>
      <c r="Q1" s="40"/>
    </row>
    <row r="2" spans="1:19" s="36" customFormat="1" ht="12.75" x14ac:dyDescent="0.2">
      <c r="A2" s="34" t="s">
        <v>147</v>
      </c>
      <c r="B2" s="34" t="s">
        <v>83</v>
      </c>
      <c r="C2" s="34"/>
      <c r="D2" s="34"/>
      <c r="H2" s="40"/>
      <c r="I2" s="40"/>
      <c r="J2" s="40"/>
      <c r="O2" s="40"/>
      <c r="Q2" s="40"/>
    </row>
    <row r="3" spans="1:19" ht="6" customHeight="1" x14ac:dyDescent="0.2">
      <c r="A3" s="14"/>
      <c r="B3" s="14"/>
      <c r="C3" s="14"/>
    </row>
    <row r="4" spans="1:19" ht="33.75" x14ac:dyDescent="0.2">
      <c r="A4" s="2" t="s">
        <v>0</v>
      </c>
      <c r="B4" s="2" t="s">
        <v>1</v>
      </c>
      <c r="C4" s="3" t="s">
        <v>2</v>
      </c>
      <c r="D4" s="3" t="s">
        <v>3</v>
      </c>
      <c r="E4" s="3" t="s">
        <v>4</v>
      </c>
      <c r="F4" s="3" t="s">
        <v>5</v>
      </c>
      <c r="G4" s="3" t="s">
        <v>6</v>
      </c>
      <c r="H4" s="41" t="s">
        <v>169</v>
      </c>
      <c r="I4" s="16" t="s">
        <v>154</v>
      </c>
      <c r="J4" s="16" t="s">
        <v>155</v>
      </c>
      <c r="K4" s="16" t="s">
        <v>156</v>
      </c>
      <c r="L4" s="16" t="s">
        <v>157</v>
      </c>
      <c r="M4" s="31" t="s">
        <v>158</v>
      </c>
      <c r="N4" s="31" t="s">
        <v>159</v>
      </c>
      <c r="O4" s="31" t="s">
        <v>160</v>
      </c>
      <c r="P4" s="31" t="s">
        <v>161</v>
      </c>
      <c r="Q4" s="31" t="s">
        <v>162</v>
      </c>
      <c r="R4" s="16" t="s">
        <v>163</v>
      </c>
      <c r="S4" s="16" t="s">
        <v>164</v>
      </c>
    </row>
    <row r="5" spans="1:19" ht="47.25" customHeight="1" x14ac:dyDescent="0.2">
      <c r="A5" s="234" t="s">
        <v>127</v>
      </c>
      <c r="B5" s="212" t="s">
        <v>84</v>
      </c>
      <c r="C5" s="37" t="s">
        <v>10</v>
      </c>
      <c r="D5" s="10" t="s">
        <v>252</v>
      </c>
      <c r="E5" s="11">
        <v>44197</v>
      </c>
      <c r="F5" s="11">
        <v>44561</v>
      </c>
      <c r="G5" s="8"/>
      <c r="H5" s="43"/>
      <c r="I5" s="44"/>
      <c r="J5" s="44"/>
      <c r="K5" s="18"/>
      <c r="L5" s="18"/>
      <c r="M5" s="18"/>
      <c r="N5" s="18"/>
      <c r="O5" s="44"/>
      <c r="P5" s="18"/>
      <c r="Q5" s="18"/>
      <c r="R5" s="18"/>
      <c r="S5" s="18"/>
    </row>
    <row r="6" spans="1:19" ht="55.5" customHeight="1" x14ac:dyDescent="0.2">
      <c r="A6" s="234"/>
      <c r="B6" s="212"/>
      <c r="C6" s="37"/>
      <c r="D6" s="10" t="s">
        <v>253</v>
      </c>
      <c r="E6" s="11">
        <v>44287</v>
      </c>
      <c r="F6" s="11">
        <v>44498</v>
      </c>
      <c r="G6" s="9">
        <v>730613</v>
      </c>
      <c r="H6" s="42">
        <v>1000</v>
      </c>
      <c r="I6" s="42"/>
      <c r="J6" s="44">
        <f>H6+I6</f>
        <v>1000</v>
      </c>
      <c r="K6" s="18" t="s">
        <v>460</v>
      </c>
      <c r="L6" s="18" t="s">
        <v>394</v>
      </c>
      <c r="M6" s="124">
        <v>44385</v>
      </c>
      <c r="N6" s="122" t="s">
        <v>393</v>
      </c>
      <c r="O6" s="44">
        <f>997.88-620.52-377.36</f>
        <v>0</v>
      </c>
      <c r="P6" s="18">
        <v>5400003229</v>
      </c>
      <c r="Q6" s="44">
        <v>620.52</v>
      </c>
      <c r="R6" s="18"/>
      <c r="S6" s="33">
        <f>J6-O6-Q6</f>
        <v>379.48</v>
      </c>
    </row>
    <row r="7" spans="1:19" ht="76.5" customHeight="1" x14ac:dyDescent="0.2">
      <c r="A7" s="234"/>
      <c r="B7" s="212"/>
      <c r="C7" s="37"/>
      <c r="D7" s="10" t="s">
        <v>254</v>
      </c>
      <c r="E7" s="11">
        <v>44348</v>
      </c>
      <c r="F7" s="11">
        <v>44469</v>
      </c>
      <c r="G7" s="9">
        <v>730814</v>
      </c>
      <c r="H7" s="42">
        <v>15000</v>
      </c>
      <c r="I7" s="42">
        <v>-8600</v>
      </c>
      <c r="J7" s="44">
        <f>H7+I7</f>
        <v>6400</v>
      </c>
      <c r="K7" s="109" t="s">
        <v>447</v>
      </c>
      <c r="L7" s="109" t="s">
        <v>441</v>
      </c>
      <c r="M7" s="124">
        <v>44426</v>
      </c>
      <c r="N7" s="139" t="s">
        <v>442</v>
      </c>
      <c r="O7" s="44">
        <f>6379.61-6376.98-2.63</f>
        <v>1.092459456231154E-13</v>
      </c>
      <c r="P7" s="18">
        <v>4700019157</v>
      </c>
      <c r="Q7" s="44">
        <v>6376.98</v>
      </c>
      <c r="R7" s="44">
        <v>6376.98</v>
      </c>
      <c r="S7" s="33">
        <f>J7-O7-Q7</f>
        <v>23.020000000000437</v>
      </c>
    </row>
    <row r="8" spans="1:19" ht="51.75" customHeight="1" x14ac:dyDescent="0.2">
      <c r="A8" s="234"/>
      <c r="B8" s="212" t="s">
        <v>85</v>
      </c>
      <c r="C8" s="37" t="s">
        <v>10</v>
      </c>
      <c r="D8" s="10" t="s">
        <v>255</v>
      </c>
      <c r="E8" s="11">
        <v>44287</v>
      </c>
      <c r="F8" s="11">
        <v>44550</v>
      </c>
      <c r="G8" s="8"/>
      <c r="H8" s="43"/>
      <c r="I8" s="44"/>
      <c r="J8" s="44"/>
      <c r="K8" s="18"/>
      <c r="L8" s="18"/>
      <c r="M8" s="18"/>
      <c r="N8" s="18"/>
      <c r="O8" s="44"/>
      <c r="P8" s="18"/>
      <c r="Q8" s="18"/>
      <c r="R8" s="18"/>
      <c r="S8" s="18"/>
    </row>
    <row r="9" spans="1:19" ht="57" customHeight="1" x14ac:dyDescent="0.2">
      <c r="A9" s="234"/>
      <c r="B9" s="212"/>
      <c r="C9" s="37"/>
      <c r="D9" s="10" t="s">
        <v>256</v>
      </c>
      <c r="E9" s="11">
        <v>44410</v>
      </c>
      <c r="F9" s="11">
        <v>44550</v>
      </c>
      <c r="G9" s="8"/>
      <c r="H9" s="43"/>
      <c r="I9" s="44"/>
      <c r="J9" s="44"/>
      <c r="K9" s="18"/>
      <c r="L9" s="18"/>
      <c r="M9" s="18"/>
      <c r="N9" s="18"/>
      <c r="O9" s="44"/>
      <c r="P9" s="18"/>
      <c r="Q9" s="18"/>
      <c r="R9" s="18"/>
      <c r="S9" s="18"/>
    </row>
    <row r="10" spans="1:19" ht="75" customHeight="1" x14ac:dyDescent="0.2">
      <c r="A10" s="234"/>
      <c r="B10" s="212" t="s">
        <v>86</v>
      </c>
      <c r="C10" s="37" t="s">
        <v>10</v>
      </c>
      <c r="D10" s="10" t="s">
        <v>257</v>
      </c>
      <c r="E10" s="11">
        <v>44256</v>
      </c>
      <c r="F10" s="11">
        <v>44286</v>
      </c>
      <c r="G10" s="8"/>
      <c r="H10" s="43"/>
      <c r="I10" s="44"/>
      <c r="J10" s="44"/>
      <c r="K10" s="18"/>
      <c r="L10" s="18"/>
      <c r="M10" s="18"/>
      <c r="N10" s="18"/>
      <c r="O10" s="44"/>
      <c r="P10" s="18"/>
      <c r="Q10" s="18"/>
      <c r="R10" s="18"/>
      <c r="S10" s="18"/>
    </row>
    <row r="11" spans="1:19" ht="69" customHeight="1" x14ac:dyDescent="0.2">
      <c r="A11" s="234"/>
      <c r="B11" s="212"/>
      <c r="C11" s="37"/>
      <c r="D11" s="10" t="s">
        <v>258</v>
      </c>
      <c r="E11" s="11">
        <v>44286</v>
      </c>
      <c r="F11" s="11">
        <v>44545</v>
      </c>
      <c r="G11" s="8"/>
      <c r="H11" s="43"/>
      <c r="I11" s="44"/>
      <c r="J11" s="44"/>
      <c r="K11" s="18"/>
      <c r="L11" s="18"/>
      <c r="M11" s="18"/>
      <c r="N11" s="18"/>
      <c r="O11" s="44"/>
      <c r="P11" s="18"/>
      <c r="Q11" s="18"/>
      <c r="R11" s="18"/>
      <c r="S11" s="18"/>
    </row>
    <row r="12" spans="1:19" ht="71.25" customHeight="1" x14ac:dyDescent="0.2">
      <c r="A12" s="234"/>
      <c r="B12" s="212" t="s">
        <v>87</v>
      </c>
      <c r="C12" s="37" t="s">
        <v>10</v>
      </c>
      <c r="D12" s="10" t="s">
        <v>259</v>
      </c>
      <c r="E12" s="11">
        <v>44197</v>
      </c>
      <c r="F12" s="11">
        <v>44561</v>
      </c>
      <c r="G12" s="8"/>
      <c r="H12" s="43"/>
      <c r="I12" s="44"/>
      <c r="J12" s="44"/>
      <c r="K12" s="18"/>
      <c r="L12" s="18"/>
      <c r="M12" s="18"/>
      <c r="N12" s="18"/>
      <c r="O12" s="44"/>
      <c r="P12" s="18"/>
      <c r="Q12" s="18"/>
      <c r="R12" s="18"/>
      <c r="S12" s="18"/>
    </row>
    <row r="13" spans="1:19" ht="96" customHeight="1" x14ac:dyDescent="0.2">
      <c r="A13" s="234"/>
      <c r="B13" s="212"/>
      <c r="C13" s="37"/>
      <c r="D13" s="10" t="s">
        <v>260</v>
      </c>
      <c r="E13" s="11">
        <v>44333</v>
      </c>
      <c r="F13" s="11">
        <v>44540</v>
      </c>
      <c r="G13" s="9">
        <v>730613</v>
      </c>
      <c r="H13" s="42">
        <v>4000</v>
      </c>
      <c r="I13" s="44"/>
      <c r="J13" s="44">
        <f t="shared" ref="J13:J15" si="0">H13+I13</f>
        <v>4000</v>
      </c>
      <c r="K13" s="18" t="s">
        <v>460</v>
      </c>
      <c r="L13" s="18" t="s">
        <v>394</v>
      </c>
      <c r="M13" s="124">
        <v>44385</v>
      </c>
      <c r="N13" s="122" t="s">
        <v>393</v>
      </c>
      <c r="O13" s="44">
        <f>3991.5-2482.08-1509.42</f>
        <v>0</v>
      </c>
      <c r="P13" s="18">
        <v>5400003229</v>
      </c>
      <c r="Q13" s="44">
        <v>2482.08</v>
      </c>
      <c r="R13" s="176">
        <v>110.8</v>
      </c>
      <c r="S13" s="33">
        <f>J13-O13-Q13</f>
        <v>1517.92</v>
      </c>
    </row>
    <row r="14" spans="1:19" ht="51" customHeight="1" x14ac:dyDescent="0.2">
      <c r="A14" s="234"/>
      <c r="B14" s="212" t="s">
        <v>88</v>
      </c>
      <c r="C14" s="37" t="s">
        <v>10</v>
      </c>
      <c r="D14" s="10" t="s">
        <v>261</v>
      </c>
      <c r="E14" s="11">
        <v>44197</v>
      </c>
      <c r="F14" s="11">
        <v>44561</v>
      </c>
      <c r="G14" s="8"/>
      <c r="H14" s="43"/>
      <c r="I14" s="44"/>
      <c r="J14" s="44"/>
      <c r="K14" s="18"/>
      <c r="L14" s="18"/>
      <c r="M14" s="18"/>
      <c r="N14" s="18"/>
      <c r="O14" s="44"/>
      <c r="P14" s="18"/>
      <c r="Q14" s="18"/>
      <c r="R14" s="18"/>
      <c r="S14" s="18"/>
    </row>
    <row r="15" spans="1:19" ht="54" customHeight="1" x14ac:dyDescent="0.2">
      <c r="A15" s="234"/>
      <c r="B15" s="212"/>
      <c r="C15" s="37"/>
      <c r="D15" s="10" t="s">
        <v>262</v>
      </c>
      <c r="E15" s="11">
        <v>44197</v>
      </c>
      <c r="F15" s="11">
        <v>44561</v>
      </c>
      <c r="G15" s="9">
        <v>730249</v>
      </c>
      <c r="H15" s="42">
        <v>8000</v>
      </c>
      <c r="I15" s="133">
        <v>-8000</v>
      </c>
      <c r="J15" s="44">
        <f t="shared" si="0"/>
        <v>0</v>
      </c>
      <c r="K15" s="18"/>
      <c r="L15" s="18"/>
      <c r="M15" s="18"/>
      <c r="N15" s="18"/>
      <c r="O15" s="44"/>
      <c r="P15" s="18"/>
      <c r="Q15" s="18"/>
      <c r="R15" s="18"/>
      <c r="S15" s="33">
        <f>J15-O15-Q15</f>
        <v>0</v>
      </c>
    </row>
    <row r="16" spans="1:19" ht="51" customHeight="1" x14ac:dyDescent="0.2">
      <c r="A16" s="234"/>
      <c r="B16" s="212"/>
      <c r="C16" s="37"/>
      <c r="D16" s="10" t="s">
        <v>263</v>
      </c>
      <c r="E16" s="11">
        <v>44270</v>
      </c>
      <c r="F16" s="11">
        <v>44557</v>
      </c>
      <c r="G16" s="8"/>
      <c r="H16" s="43"/>
      <c r="I16" s="44"/>
      <c r="J16" s="44"/>
      <c r="K16" s="18"/>
      <c r="L16" s="18"/>
      <c r="M16" s="18"/>
      <c r="N16" s="18"/>
      <c r="O16" s="44"/>
      <c r="P16" s="18"/>
      <c r="Q16" s="18"/>
      <c r="R16" s="18"/>
      <c r="S16" s="18"/>
    </row>
    <row r="17" spans="1:19" x14ac:dyDescent="0.2">
      <c r="A17" s="220"/>
      <c r="B17" s="220"/>
      <c r="C17" s="220"/>
      <c r="D17" s="220"/>
      <c r="E17" s="220"/>
      <c r="F17" s="220"/>
      <c r="G17" s="221"/>
      <c r="H17" s="19">
        <f>SUM(H5:H16)</f>
        <v>28000</v>
      </c>
      <c r="I17" s="19">
        <f t="shared" ref="I17:J17" si="1">SUM(I5:I16)</f>
        <v>-16600</v>
      </c>
      <c r="J17" s="19">
        <f t="shared" si="1"/>
        <v>11400</v>
      </c>
      <c r="K17" s="205"/>
      <c r="L17" s="206"/>
      <c r="M17" s="206"/>
      <c r="N17" s="207"/>
      <c r="O17" s="19">
        <f t="shared" ref="O17" si="2">SUM(O5:O16)</f>
        <v>1.092459456231154E-13</v>
      </c>
      <c r="P17" s="19"/>
      <c r="Q17" s="19">
        <f t="shared" ref="Q17" si="3">SUM(Q5:Q16)</f>
        <v>9479.58</v>
      </c>
      <c r="R17" s="19">
        <f t="shared" ref="R17" si="4">SUM(R5:R16)</f>
        <v>6487.78</v>
      </c>
      <c r="S17" s="19">
        <f t="shared" ref="S17" si="5">SUM(S5:S16)</f>
        <v>1920.4200000000005</v>
      </c>
    </row>
    <row r="18" spans="1:19" x14ac:dyDescent="0.2">
      <c r="A18" s="203"/>
      <c r="B18" s="203"/>
      <c r="C18" s="203"/>
      <c r="D18" s="203"/>
      <c r="E18" s="203"/>
      <c r="F18" s="203"/>
      <c r="G18" s="204"/>
      <c r="H18" s="26">
        <f>+H17</f>
        <v>28000</v>
      </c>
      <c r="I18" s="26">
        <f t="shared" ref="I18:J18" si="6">+I17</f>
        <v>-16600</v>
      </c>
      <c r="J18" s="26">
        <f t="shared" si="6"/>
        <v>11400</v>
      </c>
      <c r="K18" s="208"/>
      <c r="L18" s="209"/>
      <c r="M18" s="209"/>
      <c r="N18" s="210"/>
      <c r="O18" s="26">
        <f t="shared" ref="O18" si="7">+O17</f>
        <v>1.092459456231154E-13</v>
      </c>
      <c r="P18" s="26"/>
      <c r="Q18" s="26">
        <f t="shared" ref="Q18" si="8">+Q17</f>
        <v>9479.58</v>
      </c>
      <c r="R18" s="26">
        <f t="shared" ref="R18" si="9">+R17</f>
        <v>6487.78</v>
      </c>
      <c r="S18" s="26">
        <f t="shared" ref="S18" si="10">+S17</f>
        <v>1920.4200000000005</v>
      </c>
    </row>
    <row r="20" spans="1:19" ht="12.75" x14ac:dyDescent="0.2">
      <c r="R20" s="92" t="s">
        <v>310</v>
      </c>
      <c r="S20" s="92"/>
    </row>
  </sheetData>
  <mergeCells count="10">
    <mergeCell ref="A17:G17"/>
    <mergeCell ref="K17:N17"/>
    <mergeCell ref="A18:G18"/>
    <mergeCell ref="K18:N18"/>
    <mergeCell ref="A5:A16"/>
    <mergeCell ref="B5:B7"/>
    <mergeCell ref="B8:B9"/>
    <mergeCell ref="B10:B11"/>
    <mergeCell ref="B12:B13"/>
    <mergeCell ref="B14:B16"/>
  </mergeCells>
  <pageMargins left="0.31496062992125984" right="0" top="0.55118110236220474" bottom="0.15748031496062992" header="0.31496062992125984" footer="0.31496062992125984"/>
  <pageSetup paperSize="9" scale="6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CC"/>
  </sheetPr>
  <dimension ref="A1:S64"/>
  <sheetViews>
    <sheetView topLeftCell="G23" workbookViewId="0">
      <selection activeCell="O36" sqref="O36"/>
    </sheetView>
  </sheetViews>
  <sheetFormatPr baseColWidth="10" defaultRowHeight="11.25" x14ac:dyDescent="0.2"/>
  <cols>
    <col min="1" max="2" width="14.42578125" style="5" customWidth="1"/>
    <col min="3" max="3" width="6" style="5" customWidth="1"/>
    <col min="4" max="4" width="17.7109375" style="5" customWidth="1"/>
    <col min="5" max="5" width="7.28515625" style="5" hidden="1" customWidth="1"/>
    <col min="6" max="6" width="8.42578125" style="5" hidden="1" customWidth="1"/>
    <col min="7" max="7" width="11.42578125" style="5"/>
    <col min="8" max="8" width="11.42578125" style="23"/>
    <col min="9" max="9" width="10" style="23" customWidth="1"/>
    <col min="10" max="10" width="10.5703125" style="5" customWidth="1"/>
    <col min="11" max="11" width="18.5703125" style="5" customWidth="1"/>
    <col min="12" max="12" width="21.5703125" style="5" customWidth="1"/>
    <col min="13" max="13" width="8.85546875" style="5" customWidth="1"/>
    <col min="14" max="14" width="13.28515625" style="100" customWidth="1"/>
    <col min="15" max="15" width="11.28515625" style="23" customWidth="1"/>
    <col min="16" max="16" width="12.85546875" style="103" customWidth="1"/>
    <col min="17" max="17" width="11" style="5" customWidth="1"/>
    <col min="18" max="18" width="10.140625" style="5" customWidth="1"/>
    <col min="19" max="19" width="10.42578125" style="5" customWidth="1"/>
    <col min="20" max="16384" width="11.42578125" style="5"/>
  </cols>
  <sheetData>
    <row r="1" spans="1:19" s="36" customFormat="1" ht="12.75" x14ac:dyDescent="0.2">
      <c r="A1" s="34" t="s">
        <v>146</v>
      </c>
      <c r="B1" s="34" t="s">
        <v>117</v>
      </c>
      <c r="C1" s="35"/>
      <c r="D1" s="35"/>
      <c r="E1" s="35"/>
      <c r="F1" s="35"/>
      <c r="G1" s="35"/>
      <c r="H1" s="39"/>
      <c r="I1" s="40"/>
      <c r="N1" s="99"/>
      <c r="O1" s="40"/>
      <c r="P1" s="102"/>
    </row>
    <row r="2" spans="1:19" s="36" customFormat="1" ht="12.75" x14ac:dyDescent="0.2">
      <c r="A2" s="34" t="s">
        <v>147</v>
      </c>
      <c r="B2" s="34" t="s">
        <v>148</v>
      </c>
      <c r="C2" s="34"/>
      <c r="D2" s="34"/>
      <c r="H2" s="40"/>
      <c r="I2" s="40"/>
      <c r="N2" s="99"/>
      <c r="O2" s="40"/>
      <c r="P2" s="102"/>
    </row>
    <row r="3" spans="1:19" ht="6" customHeight="1" x14ac:dyDescent="0.2"/>
    <row r="4" spans="1:19" ht="29.25" customHeight="1" x14ac:dyDescent="0.2">
      <c r="A4" s="2" t="s">
        <v>0</v>
      </c>
      <c r="B4" s="2" t="s">
        <v>1</v>
      </c>
      <c r="C4" s="3" t="s">
        <v>2</v>
      </c>
      <c r="D4" s="3" t="s">
        <v>3</v>
      </c>
      <c r="E4" s="3" t="s">
        <v>4</v>
      </c>
      <c r="F4" s="3" t="s">
        <v>5</v>
      </c>
      <c r="G4" s="4" t="s">
        <v>6</v>
      </c>
      <c r="H4" s="24" t="s">
        <v>169</v>
      </c>
      <c r="I4" s="16" t="s">
        <v>154</v>
      </c>
      <c r="J4" s="16" t="s">
        <v>155</v>
      </c>
      <c r="K4" s="16" t="s">
        <v>156</v>
      </c>
      <c r="L4" s="16" t="s">
        <v>157</v>
      </c>
      <c r="M4" s="16" t="s">
        <v>313</v>
      </c>
      <c r="N4" s="31" t="s">
        <v>159</v>
      </c>
      <c r="O4" s="16" t="s">
        <v>160</v>
      </c>
      <c r="P4" s="104" t="s">
        <v>161</v>
      </c>
      <c r="Q4" s="16" t="s">
        <v>162</v>
      </c>
      <c r="R4" s="16" t="s">
        <v>163</v>
      </c>
      <c r="S4" s="16" t="s">
        <v>164</v>
      </c>
    </row>
    <row r="5" spans="1:19" ht="24.75" customHeight="1" x14ac:dyDescent="0.2">
      <c r="A5" s="211" t="s">
        <v>118</v>
      </c>
      <c r="B5" s="212" t="s">
        <v>119</v>
      </c>
      <c r="C5" s="213" t="s">
        <v>10</v>
      </c>
      <c r="D5" s="214" t="s">
        <v>165</v>
      </c>
      <c r="E5" s="202">
        <v>44197</v>
      </c>
      <c r="F5" s="202">
        <v>44561</v>
      </c>
      <c r="G5" s="9">
        <v>530101</v>
      </c>
      <c r="H5" s="25">
        <v>15000</v>
      </c>
      <c r="I5" s="17"/>
      <c r="J5" s="30">
        <f>H5+I5</f>
        <v>15000</v>
      </c>
      <c r="K5" s="30" t="s">
        <v>327</v>
      </c>
      <c r="L5" s="30" t="s">
        <v>328</v>
      </c>
      <c r="M5" s="98"/>
      <c r="N5" s="107"/>
      <c r="O5" s="30"/>
      <c r="P5" s="101">
        <v>2000069448</v>
      </c>
      <c r="Q5" s="30">
        <v>15000</v>
      </c>
      <c r="R5" s="30">
        <v>5084.68</v>
      </c>
      <c r="S5" s="30">
        <f>J5-O5-Q5</f>
        <v>0</v>
      </c>
    </row>
    <row r="6" spans="1:19" ht="22.5" customHeight="1" x14ac:dyDescent="0.2">
      <c r="A6" s="211"/>
      <c r="B6" s="212"/>
      <c r="C6" s="213"/>
      <c r="D6" s="214"/>
      <c r="E6" s="202"/>
      <c r="F6" s="202"/>
      <c r="G6" s="9">
        <v>530104</v>
      </c>
      <c r="H6" s="25">
        <v>20000</v>
      </c>
      <c r="I6" s="44"/>
      <c r="J6" s="30">
        <f t="shared" ref="J6:J55" si="0">H6+I6</f>
        <v>20000</v>
      </c>
      <c r="K6" s="30" t="s">
        <v>331</v>
      </c>
      <c r="L6" s="30" t="s">
        <v>332</v>
      </c>
      <c r="M6" s="98"/>
      <c r="N6" s="107"/>
      <c r="O6" s="44"/>
      <c r="P6" s="101">
        <v>2000069449</v>
      </c>
      <c r="Q6" s="30">
        <v>20000</v>
      </c>
      <c r="R6" s="30">
        <v>19196.650000000001</v>
      </c>
      <c r="S6" s="30">
        <f t="shared" ref="S6:S55" si="1">J6-O6-Q6</f>
        <v>0</v>
      </c>
    </row>
    <row r="7" spans="1:19" ht="15.75" customHeight="1" x14ac:dyDescent="0.2">
      <c r="A7" s="211"/>
      <c r="B7" s="212"/>
      <c r="C7" s="213"/>
      <c r="D7" s="214"/>
      <c r="E7" s="202"/>
      <c r="F7" s="202"/>
      <c r="G7" s="190">
        <v>530105</v>
      </c>
      <c r="H7" s="194">
        <v>4000</v>
      </c>
      <c r="I7" s="197"/>
      <c r="J7" s="215">
        <f t="shared" si="0"/>
        <v>4000</v>
      </c>
      <c r="K7" s="30" t="s">
        <v>312</v>
      </c>
      <c r="L7" s="30" t="s">
        <v>311</v>
      </c>
      <c r="M7" s="98">
        <v>44204</v>
      </c>
      <c r="N7" s="107" t="s">
        <v>314</v>
      </c>
      <c r="O7" s="30">
        <f>3252.48-3078.24-174.24</f>
        <v>2.2737367544323206E-13</v>
      </c>
      <c r="P7" s="101">
        <v>4700018647</v>
      </c>
      <c r="Q7" s="30">
        <v>3078.24</v>
      </c>
      <c r="R7" s="30">
        <f>813.12+271.04+271.04+271.04+242+242+242+242+242+242</f>
        <v>3078.24</v>
      </c>
      <c r="S7" s="215">
        <f>J7-O7-O8-Q7-Q8</f>
        <v>174.24000000000024</v>
      </c>
    </row>
    <row r="8" spans="1:19" ht="22.5" customHeight="1" x14ac:dyDescent="0.2">
      <c r="A8" s="211"/>
      <c r="B8" s="212"/>
      <c r="C8" s="213"/>
      <c r="D8" s="214"/>
      <c r="E8" s="202"/>
      <c r="F8" s="202"/>
      <c r="G8" s="191"/>
      <c r="H8" s="196"/>
      <c r="I8" s="199"/>
      <c r="J8" s="217"/>
      <c r="K8" s="30" t="s">
        <v>333</v>
      </c>
      <c r="L8" s="30" t="s">
        <v>334</v>
      </c>
      <c r="M8" s="98"/>
      <c r="N8" s="107"/>
      <c r="O8" s="30"/>
      <c r="P8" s="101">
        <v>2000069450</v>
      </c>
      <c r="Q8" s="30">
        <v>747.52</v>
      </c>
      <c r="R8" s="30">
        <f>105.53+48+64.18+96.44+47.98+40.04+48.2+57.42+48.03+48.14</f>
        <v>603.96</v>
      </c>
      <c r="S8" s="217"/>
    </row>
    <row r="9" spans="1:19" ht="19.5" customHeight="1" x14ac:dyDescent="0.2">
      <c r="A9" s="211"/>
      <c r="B9" s="212"/>
      <c r="C9" s="213"/>
      <c r="D9" s="214"/>
      <c r="E9" s="202"/>
      <c r="F9" s="202"/>
      <c r="G9" s="9">
        <v>530203</v>
      </c>
      <c r="H9" s="25">
        <v>2000</v>
      </c>
      <c r="I9" s="44"/>
      <c r="J9" s="30">
        <f t="shared" si="0"/>
        <v>2000</v>
      </c>
      <c r="K9" s="30" t="s">
        <v>518</v>
      </c>
      <c r="L9" s="18" t="s">
        <v>497</v>
      </c>
      <c r="M9" s="98">
        <v>44530</v>
      </c>
      <c r="N9" s="107" t="s">
        <v>498</v>
      </c>
      <c r="O9" s="128">
        <f>1785.71-1770.57</f>
        <v>15.1400000000001</v>
      </c>
      <c r="P9" s="101">
        <v>4700019705</v>
      </c>
      <c r="Q9" s="30">
        <v>1770.57</v>
      </c>
      <c r="R9" s="30">
        <v>1770.56</v>
      </c>
      <c r="S9" s="30">
        <f t="shared" si="1"/>
        <v>214.28999999999996</v>
      </c>
    </row>
    <row r="10" spans="1:19" ht="22.5" x14ac:dyDescent="0.2">
      <c r="A10" s="211"/>
      <c r="B10" s="212"/>
      <c r="C10" s="213"/>
      <c r="D10" s="214"/>
      <c r="E10" s="202"/>
      <c r="F10" s="202"/>
      <c r="G10" s="190">
        <v>530208</v>
      </c>
      <c r="H10" s="194">
        <v>557000</v>
      </c>
      <c r="I10" s="192">
        <f>-4910.29-7176.96-66463.52-15391.43-0.06-42755.34</f>
        <v>-136697.60000000001</v>
      </c>
      <c r="J10" s="215">
        <f>H10+I10</f>
        <v>420302.4</v>
      </c>
      <c r="K10" s="30" t="s">
        <v>315</v>
      </c>
      <c r="L10" s="30" t="s">
        <v>316</v>
      </c>
      <c r="M10" s="98">
        <v>44204</v>
      </c>
      <c r="N10" s="107" t="s">
        <v>317</v>
      </c>
      <c r="O10" s="30">
        <f>350820.74-327830.08-22990.66</f>
        <v>0</v>
      </c>
      <c r="P10" s="101">
        <v>5400003042</v>
      </c>
      <c r="Q10" s="30">
        <v>327830.08</v>
      </c>
      <c r="R10" s="30">
        <f>322761.98+5068.08</f>
        <v>327830.06</v>
      </c>
      <c r="S10" s="215">
        <f>J10-O10-Q10-O13-O11-Q11-Q13-O12-Q12</f>
        <v>23272.05000000001</v>
      </c>
    </row>
    <row r="11" spans="1:19" ht="21.75" customHeight="1" x14ac:dyDescent="0.2">
      <c r="A11" s="211"/>
      <c r="B11" s="212"/>
      <c r="C11" s="213"/>
      <c r="D11" s="214"/>
      <c r="E11" s="202"/>
      <c r="F11" s="202"/>
      <c r="G11" s="201"/>
      <c r="H11" s="195"/>
      <c r="I11" s="200"/>
      <c r="J11" s="216"/>
      <c r="K11" s="30" t="s">
        <v>315</v>
      </c>
      <c r="L11" s="30" t="s">
        <v>486</v>
      </c>
      <c r="M11" s="98">
        <v>44483</v>
      </c>
      <c r="N11" s="107" t="s">
        <v>468</v>
      </c>
      <c r="O11" s="30">
        <f>21287.7-21287.7</f>
        <v>0</v>
      </c>
      <c r="P11" s="101">
        <v>5400003245</v>
      </c>
      <c r="Q11" s="30">
        <v>21287.7</v>
      </c>
      <c r="R11" s="30">
        <v>21287.7</v>
      </c>
      <c r="S11" s="216"/>
    </row>
    <row r="12" spans="1:19" ht="21.75" customHeight="1" x14ac:dyDescent="0.2">
      <c r="A12" s="211"/>
      <c r="B12" s="212"/>
      <c r="C12" s="213"/>
      <c r="D12" s="214"/>
      <c r="E12" s="202"/>
      <c r="F12" s="202"/>
      <c r="G12" s="201"/>
      <c r="H12" s="195"/>
      <c r="I12" s="200"/>
      <c r="J12" s="216"/>
      <c r="K12" s="30" t="s">
        <v>315</v>
      </c>
      <c r="L12" s="30" t="s">
        <v>487</v>
      </c>
      <c r="M12" s="98">
        <v>44522</v>
      </c>
      <c r="N12" s="107" t="s">
        <v>488</v>
      </c>
      <c r="O12" s="30">
        <f>8109.6-8109.6</f>
        <v>0</v>
      </c>
      <c r="P12" s="101">
        <v>5400003272</v>
      </c>
      <c r="Q12" s="30">
        <v>8109.6</v>
      </c>
      <c r="R12" s="30">
        <v>8109.6</v>
      </c>
      <c r="S12" s="216"/>
    </row>
    <row r="13" spans="1:19" ht="27" customHeight="1" x14ac:dyDescent="0.2">
      <c r="A13" s="211"/>
      <c r="B13" s="212"/>
      <c r="C13" s="213"/>
      <c r="D13" s="214"/>
      <c r="E13" s="202"/>
      <c r="F13" s="202"/>
      <c r="G13" s="191"/>
      <c r="H13" s="196"/>
      <c r="I13" s="193"/>
      <c r="J13" s="217"/>
      <c r="K13" s="30"/>
      <c r="L13" s="30" t="s">
        <v>489</v>
      </c>
      <c r="M13" s="98">
        <v>44522</v>
      </c>
      <c r="N13" s="107" t="s">
        <v>490</v>
      </c>
      <c r="O13" s="30">
        <f>39802.97-4794.52</f>
        <v>35008.449999999997</v>
      </c>
      <c r="P13" s="101">
        <v>5400003308</v>
      </c>
      <c r="Q13" s="30">
        <v>4794.5200000000004</v>
      </c>
      <c r="R13" s="30">
        <v>4794.5200000000004</v>
      </c>
      <c r="S13" s="217"/>
    </row>
    <row r="14" spans="1:19" ht="33.75" x14ac:dyDescent="0.2">
      <c r="A14" s="211"/>
      <c r="B14" s="212"/>
      <c r="C14" s="213"/>
      <c r="D14" s="214"/>
      <c r="E14" s="202"/>
      <c r="F14" s="202"/>
      <c r="G14" s="9">
        <v>530209</v>
      </c>
      <c r="H14" s="25">
        <v>196000</v>
      </c>
      <c r="I14" s="44">
        <f>-102.46-6000</f>
        <v>-6102.46</v>
      </c>
      <c r="J14" s="30">
        <f t="shared" si="0"/>
        <v>189897.54</v>
      </c>
      <c r="K14" s="30" t="s">
        <v>324</v>
      </c>
      <c r="L14" s="30" t="s">
        <v>325</v>
      </c>
      <c r="M14" s="98">
        <v>44204</v>
      </c>
      <c r="N14" s="107" t="s">
        <v>326</v>
      </c>
      <c r="O14" s="30">
        <f>195897.54-185257.51-10640.03</f>
        <v>0</v>
      </c>
      <c r="P14" s="101">
        <v>4100008300</v>
      </c>
      <c r="Q14" s="30">
        <v>185257.51</v>
      </c>
      <c r="R14" s="30">
        <v>182591.01</v>
      </c>
      <c r="S14" s="30">
        <f t="shared" si="1"/>
        <v>4640.0299999999988</v>
      </c>
    </row>
    <row r="15" spans="1:19" ht="22.5" customHeight="1" x14ac:dyDescent="0.2">
      <c r="A15" s="211"/>
      <c r="B15" s="212"/>
      <c r="C15" s="213"/>
      <c r="D15" s="214"/>
      <c r="E15" s="202"/>
      <c r="F15" s="202"/>
      <c r="G15" s="172">
        <v>530204</v>
      </c>
      <c r="H15" s="173"/>
      <c r="I15" s="174">
        <f>37186-15100</f>
        <v>22086</v>
      </c>
      <c r="J15" s="165">
        <f>H15+I15</f>
        <v>22086</v>
      </c>
      <c r="K15" s="30" t="s">
        <v>452</v>
      </c>
      <c r="L15" s="30" t="s">
        <v>406</v>
      </c>
      <c r="M15" s="98">
        <v>44396</v>
      </c>
      <c r="N15" s="107" t="s">
        <v>407</v>
      </c>
      <c r="O15" s="30">
        <f>7056-6300-756</f>
        <v>0</v>
      </c>
      <c r="P15" s="101">
        <v>4700019165</v>
      </c>
      <c r="Q15" s="30">
        <v>6300</v>
      </c>
      <c r="R15" s="30">
        <v>6300</v>
      </c>
      <c r="S15" s="165">
        <f>J15-O15-Q15</f>
        <v>15786</v>
      </c>
    </row>
    <row r="16" spans="1:19" ht="22.5" customHeight="1" x14ac:dyDescent="0.2">
      <c r="A16" s="211"/>
      <c r="B16" s="212"/>
      <c r="C16" s="213"/>
      <c r="D16" s="214"/>
      <c r="E16" s="202"/>
      <c r="F16" s="202"/>
      <c r="G16" s="190">
        <v>530805</v>
      </c>
      <c r="H16" s="194"/>
      <c r="I16" s="192">
        <v>2188.56</v>
      </c>
      <c r="J16" s="215">
        <f>H18+I16</f>
        <v>2188.56</v>
      </c>
      <c r="K16" s="30" t="s">
        <v>440</v>
      </c>
      <c r="L16" s="30" t="s">
        <v>387</v>
      </c>
      <c r="M16" s="98">
        <v>44393</v>
      </c>
      <c r="N16" s="107" t="s">
        <v>403</v>
      </c>
      <c r="O16" s="141">
        <f>150.64-134.5</f>
        <v>16.139999999999986</v>
      </c>
      <c r="P16" s="101">
        <v>4700019147</v>
      </c>
      <c r="Q16" s="30">
        <v>134.5</v>
      </c>
      <c r="R16" s="30">
        <v>134.5</v>
      </c>
      <c r="S16" s="215">
        <f>J16-O17-Q18-O16-Q16-Q17</f>
        <v>307.05999999999995</v>
      </c>
    </row>
    <row r="17" spans="1:19" ht="22.5" customHeight="1" x14ac:dyDescent="0.2">
      <c r="A17" s="211"/>
      <c r="B17" s="212"/>
      <c r="C17" s="213"/>
      <c r="D17" s="214"/>
      <c r="E17" s="202"/>
      <c r="F17" s="202"/>
      <c r="G17" s="201"/>
      <c r="H17" s="195"/>
      <c r="I17" s="200"/>
      <c r="J17" s="216"/>
      <c r="K17" s="30" t="s">
        <v>450</v>
      </c>
      <c r="L17" s="215" t="s">
        <v>387</v>
      </c>
      <c r="M17" s="223">
        <v>44382</v>
      </c>
      <c r="N17" s="226" t="s">
        <v>388</v>
      </c>
      <c r="O17" s="215">
        <f>1730.86-1115.9-28</f>
        <v>586.95999999999981</v>
      </c>
      <c r="P17" s="101">
        <v>4100008786</v>
      </c>
      <c r="Q17" s="30">
        <v>1115.9000000000001</v>
      </c>
      <c r="R17" s="30">
        <v>1115.9000000000001</v>
      </c>
      <c r="S17" s="216"/>
    </row>
    <row r="18" spans="1:19" ht="22.5" customHeight="1" x14ac:dyDescent="0.2">
      <c r="A18" s="211"/>
      <c r="B18" s="212"/>
      <c r="C18" s="213"/>
      <c r="D18" s="214"/>
      <c r="E18" s="202"/>
      <c r="F18" s="202"/>
      <c r="G18" s="191"/>
      <c r="H18" s="196"/>
      <c r="I18" s="193"/>
      <c r="J18" s="217"/>
      <c r="K18" s="30" t="s">
        <v>451</v>
      </c>
      <c r="L18" s="217"/>
      <c r="M18" s="225"/>
      <c r="N18" s="227"/>
      <c r="O18" s="217"/>
      <c r="P18" s="101">
        <v>4100008792</v>
      </c>
      <c r="Q18" s="30">
        <v>28</v>
      </c>
      <c r="R18" s="30">
        <v>28</v>
      </c>
      <c r="S18" s="217"/>
    </row>
    <row r="19" spans="1:19" ht="22.5" customHeight="1" x14ac:dyDescent="0.2">
      <c r="A19" s="211"/>
      <c r="B19" s="212"/>
      <c r="C19" s="213"/>
      <c r="D19" s="214"/>
      <c r="E19" s="202"/>
      <c r="F19" s="202"/>
      <c r="G19" s="9">
        <v>530820</v>
      </c>
      <c r="H19" s="25"/>
      <c r="I19" s="44">
        <v>811.44</v>
      </c>
      <c r="J19" s="30">
        <f t="shared" si="0"/>
        <v>811.44</v>
      </c>
      <c r="K19" s="30" t="s">
        <v>440</v>
      </c>
      <c r="L19" s="30" t="s">
        <v>401</v>
      </c>
      <c r="M19" s="98">
        <v>44393</v>
      </c>
      <c r="N19" s="107" t="s">
        <v>402</v>
      </c>
      <c r="O19" s="30">
        <f>537.6-480-57.6</f>
        <v>0</v>
      </c>
      <c r="P19" s="101">
        <v>4700019128</v>
      </c>
      <c r="Q19" s="30">
        <v>480</v>
      </c>
      <c r="R19" s="30">
        <v>480</v>
      </c>
      <c r="S19" s="30">
        <f t="shared" si="1"/>
        <v>331.44000000000005</v>
      </c>
    </row>
    <row r="20" spans="1:19" ht="22.5" customHeight="1" x14ac:dyDescent="0.2">
      <c r="A20" s="211"/>
      <c r="B20" s="212"/>
      <c r="C20" s="213"/>
      <c r="D20" s="214"/>
      <c r="E20" s="202"/>
      <c r="F20" s="202"/>
      <c r="G20" s="190">
        <v>530243</v>
      </c>
      <c r="H20" s="194">
        <v>700</v>
      </c>
      <c r="I20" s="192">
        <v>480.26</v>
      </c>
      <c r="J20" s="215">
        <f>+H20+I20</f>
        <v>1180.26</v>
      </c>
      <c r="K20" s="30" t="s">
        <v>448</v>
      </c>
      <c r="L20" s="215" t="s">
        <v>413</v>
      </c>
      <c r="M20" s="223">
        <v>44397</v>
      </c>
      <c r="N20" s="229" t="s">
        <v>414</v>
      </c>
      <c r="O20" s="228">
        <f>560-80-360</f>
        <v>120</v>
      </c>
      <c r="P20" s="101">
        <v>4700019167</v>
      </c>
      <c r="Q20" s="30">
        <v>80</v>
      </c>
      <c r="R20" s="30">
        <v>80</v>
      </c>
      <c r="S20" s="215">
        <f>J20-O20-O21-O22-Q20-Q21-Q23-Q22</f>
        <v>0</v>
      </c>
    </row>
    <row r="21" spans="1:19" ht="22.5" customHeight="1" x14ac:dyDescent="0.2">
      <c r="A21" s="211"/>
      <c r="B21" s="212"/>
      <c r="C21" s="213"/>
      <c r="D21" s="214"/>
      <c r="E21" s="202"/>
      <c r="F21" s="202"/>
      <c r="G21" s="201"/>
      <c r="H21" s="195"/>
      <c r="I21" s="200"/>
      <c r="J21" s="216"/>
      <c r="K21" s="30" t="s">
        <v>449</v>
      </c>
      <c r="L21" s="216"/>
      <c r="M21" s="224"/>
      <c r="N21" s="229"/>
      <c r="O21" s="228"/>
      <c r="P21" s="101">
        <v>4700019184</v>
      </c>
      <c r="Q21" s="30">
        <v>360</v>
      </c>
      <c r="R21" s="30">
        <v>360</v>
      </c>
      <c r="S21" s="216"/>
    </row>
    <row r="22" spans="1:19" ht="22.5" customHeight="1" x14ac:dyDescent="0.2">
      <c r="A22" s="211"/>
      <c r="B22" s="212"/>
      <c r="C22" s="213"/>
      <c r="D22" s="214"/>
      <c r="E22" s="202"/>
      <c r="F22" s="202"/>
      <c r="G22" s="201"/>
      <c r="H22" s="195"/>
      <c r="I22" s="200"/>
      <c r="J22" s="216"/>
      <c r="K22" s="30" t="s">
        <v>483</v>
      </c>
      <c r="L22" s="216"/>
      <c r="M22" s="224"/>
      <c r="N22" s="226" t="s">
        <v>482</v>
      </c>
      <c r="O22" s="215">
        <f>620.26-388.8-165</f>
        <v>66.45999999999998</v>
      </c>
      <c r="P22" s="101">
        <v>4700019338</v>
      </c>
      <c r="Q22" s="30">
        <v>388.8</v>
      </c>
      <c r="R22" s="30">
        <v>388.8</v>
      </c>
      <c r="S22" s="216"/>
    </row>
    <row r="23" spans="1:19" ht="21" customHeight="1" x14ac:dyDescent="0.2">
      <c r="A23" s="211"/>
      <c r="B23" s="212"/>
      <c r="C23" s="213"/>
      <c r="D23" s="214"/>
      <c r="E23" s="202"/>
      <c r="F23" s="202"/>
      <c r="G23" s="191"/>
      <c r="H23" s="196"/>
      <c r="I23" s="193"/>
      <c r="J23" s="217"/>
      <c r="K23" s="180" t="s">
        <v>448</v>
      </c>
      <c r="L23" s="217"/>
      <c r="M23" s="225"/>
      <c r="N23" s="227"/>
      <c r="O23" s="217"/>
      <c r="P23" s="101">
        <v>4700019339</v>
      </c>
      <c r="Q23" s="30">
        <v>165</v>
      </c>
      <c r="R23" s="30">
        <v>165</v>
      </c>
      <c r="S23" s="217"/>
    </row>
    <row r="24" spans="1:19" ht="23.25" customHeight="1" x14ac:dyDescent="0.2">
      <c r="A24" s="211"/>
      <c r="B24" s="212"/>
      <c r="C24" s="213"/>
      <c r="D24" s="214"/>
      <c r="E24" s="202"/>
      <c r="F24" s="202"/>
      <c r="G24" s="190">
        <v>530803</v>
      </c>
      <c r="H24" s="194">
        <v>6000</v>
      </c>
      <c r="I24" s="197">
        <f>1726-359.29</f>
        <v>1366.71</v>
      </c>
      <c r="J24" s="215">
        <f>H24+I24</f>
        <v>7366.71</v>
      </c>
      <c r="K24" s="177" t="s">
        <v>436</v>
      </c>
      <c r="L24" s="177" t="s">
        <v>430</v>
      </c>
      <c r="M24" s="98">
        <v>44425</v>
      </c>
      <c r="N24" s="178" t="s">
        <v>431</v>
      </c>
      <c r="O24" s="30">
        <f>649-649</f>
        <v>0</v>
      </c>
      <c r="P24" s="101">
        <v>4700019228</v>
      </c>
      <c r="Q24" s="30">
        <v>649</v>
      </c>
      <c r="R24" s="30">
        <v>649</v>
      </c>
      <c r="S24" s="215">
        <f>J24-O26-Q26-Q24-O24-O25-Q25</f>
        <v>157.25</v>
      </c>
    </row>
    <row r="25" spans="1:19" ht="23.25" customHeight="1" x14ac:dyDescent="0.2">
      <c r="A25" s="211"/>
      <c r="B25" s="212"/>
      <c r="C25" s="213"/>
      <c r="D25" s="214"/>
      <c r="E25" s="202"/>
      <c r="F25" s="202"/>
      <c r="G25" s="201"/>
      <c r="H25" s="195"/>
      <c r="I25" s="198"/>
      <c r="J25" s="216"/>
      <c r="K25" s="109"/>
      <c r="L25" s="109" t="s">
        <v>469</v>
      </c>
      <c r="M25" s="98">
        <v>44484</v>
      </c>
      <c r="N25" s="107" t="s">
        <v>471</v>
      </c>
      <c r="O25" s="30">
        <v>560.46</v>
      </c>
      <c r="P25" s="101"/>
      <c r="Q25" s="30"/>
      <c r="R25" s="30"/>
      <c r="S25" s="216"/>
    </row>
    <row r="26" spans="1:19" ht="24" customHeight="1" x14ac:dyDescent="0.2">
      <c r="A26" s="211"/>
      <c r="B26" s="212"/>
      <c r="C26" s="213"/>
      <c r="D26" s="214"/>
      <c r="E26" s="202"/>
      <c r="F26" s="202"/>
      <c r="G26" s="191"/>
      <c r="H26" s="196"/>
      <c r="I26" s="199"/>
      <c r="J26" s="217"/>
      <c r="K26" s="30" t="s">
        <v>321</v>
      </c>
      <c r="L26" s="30" t="s">
        <v>322</v>
      </c>
      <c r="M26" s="98">
        <v>44204</v>
      </c>
      <c r="N26" s="107" t="s">
        <v>323</v>
      </c>
      <c r="O26" s="30">
        <f>6000-6000</f>
        <v>0</v>
      </c>
      <c r="P26" s="101">
        <v>4700018649</v>
      </c>
      <c r="Q26" s="30">
        <v>6000</v>
      </c>
      <c r="R26" s="30">
        <v>4941.5600000000004</v>
      </c>
      <c r="S26" s="217"/>
    </row>
    <row r="27" spans="1:19" ht="20.25" customHeight="1" x14ac:dyDescent="0.2">
      <c r="A27" s="211"/>
      <c r="B27" s="212"/>
      <c r="C27" s="213"/>
      <c r="D27" s="218" t="s">
        <v>166</v>
      </c>
      <c r="E27" s="187">
        <v>44197</v>
      </c>
      <c r="F27" s="187">
        <v>44561</v>
      </c>
      <c r="G27" s="190">
        <v>530402</v>
      </c>
      <c r="H27" s="194">
        <v>7845</v>
      </c>
      <c r="I27" s="192">
        <f>29819.92+15391.43+0.06-6416.07</f>
        <v>38795.339999999997</v>
      </c>
      <c r="J27" s="215">
        <f t="shared" si="0"/>
        <v>46640.34</v>
      </c>
      <c r="K27" s="30" t="s">
        <v>318</v>
      </c>
      <c r="L27" s="30" t="s">
        <v>319</v>
      </c>
      <c r="M27" s="98">
        <v>44204</v>
      </c>
      <c r="N27" s="107" t="s">
        <v>320</v>
      </c>
      <c r="O27" s="30">
        <f>3248-1747.09-1500.91+110.4</f>
        <v>110.4</v>
      </c>
      <c r="P27" s="101">
        <v>4700018648</v>
      </c>
      <c r="Q27" s="30">
        <f>1747.09-110.39</f>
        <v>1636.6999999999998</v>
      </c>
      <c r="R27" s="30">
        <f>581.24+135.51</f>
        <v>716.75</v>
      </c>
      <c r="S27" s="215">
        <f>J27-O27-Q27-O30-Q30-O28-Q29-Q28</f>
        <v>437.5199999999968</v>
      </c>
    </row>
    <row r="28" spans="1:19" ht="20.25" customHeight="1" x14ac:dyDescent="0.2">
      <c r="A28" s="211"/>
      <c r="B28" s="212"/>
      <c r="C28" s="213"/>
      <c r="D28" s="219"/>
      <c r="E28" s="188"/>
      <c r="F28" s="188"/>
      <c r="G28" s="201"/>
      <c r="H28" s="195"/>
      <c r="I28" s="200"/>
      <c r="J28" s="216"/>
      <c r="K28" s="215"/>
      <c r="L28" s="215" t="s">
        <v>456</v>
      </c>
      <c r="M28" s="223">
        <v>44449</v>
      </c>
      <c r="N28" s="226" t="s">
        <v>457</v>
      </c>
      <c r="O28" s="215">
        <f>38055.72-18034.75-20020.97</f>
        <v>0</v>
      </c>
      <c r="P28" s="101">
        <v>4500000725</v>
      </c>
      <c r="Q28" s="30">
        <v>18034.75</v>
      </c>
      <c r="R28" s="165"/>
      <c r="S28" s="216"/>
    </row>
    <row r="29" spans="1:19" ht="19.5" customHeight="1" x14ac:dyDescent="0.2">
      <c r="A29" s="211"/>
      <c r="B29" s="212"/>
      <c r="C29" s="213"/>
      <c r="D29" s="219"/>
      <c r="E29" s="188"/>
      <c r="F29" s="188"/>
      <c r="G29" s="201"/>
      <c r="H29" s="195"/>
      <c r="I29" s="200"/>
      <c r="J29" s="216"/>
      <c r="K29" s="217"/>
      <c r="L29" s="217"/>
      <c r="M29" s="225"/>
      <c r="N29" s="227"/>
      <c r="O29" s="217"/>
      <c r="P29" s="101">
        <v>4500000726</v>
      </c>
      <c r="Q29" s="30">
        <v>20020.97</v>
      </c>
      <c r="R29" s="30"/>
      <c r="S29" s="216"/>
    </row>
    <row r="30" spans="1:19" ht="21" customHeight="1" x14ac:dyDescent="0.2">
      <c r="A30" s="211"/>
      <c r="B30" s="212"/>
      <c r="C30" s="213"/>
      <c r="D30" s="219"/>
      <c r="E30" s="188"/>
      <c r="F30" s="188"/>
      <c r="G30" s="191"/>
      <c r="H30" s="196"/>
      <c r="I30" s="193"/>
      <c r="J30" s="217"/>
      <c r="K30" s="30" t="s">
        <v>439</v>
      </c>
      <c r="L30" s="30" t="s">
        <v>404</v>
      </c>
      <c r="M30" s="98">
        <v>44393</v>
      </c>
      <c r="N30" s="107" t="s">
        <v>405</v>
      </c>
      <c r="O30" s="30">
        <f>7168-6400-768</f>
        <v>0</v>
      </c>
      <c r="P30" s="101">
        <v>4700019129</v>
      </c>
      <c r="Q30" s="30">
        <v>6400</v>
      </c>
      <c r="R30" s="30">
        <v>6400</v>
      </c>
      <c r="S30" s="217"/>
    </row>
    <row r="31" spans="1:19" ht="21" customHeight="1" x14ac:dyDescent="0.2">
      <c r="A31" s="211"/>
      <c r="B31" s="212"/>
      <c r="C31" s="213"/>
      <c r="D31" s="219"/>
      <c r="E31" s="188"/>
      <c r="F31" s="188"/>
      <c r="G31" s="155">
        <v>530418</v>
      </c>
      <c r="H31" s="156"/>
      <c r="I31" s="157">
        <v>15100</v>
      </c>
      <c r="J31" s="153">
        <f>+H31+I31</f>
        <v>15100</v>
      </c>
      <c r="K31" s="30"/>
      <c r="L31" s="30"/>
      <c r="M31" s="98"/>
      <c r="N31" s="107"/>
      <c r="O31" s="30"/>
      <c r="P31" s="101"/>
      <c r="Q31" s="30"/>
      <c r="R31" s="30"/>
      <c r="S31" s="30">
        <f t="shared" si="1"/>
        <v>15100</v>
      </c>
    </row>
    <row r="32" spans="1:19" ht="21" customHeight="1" x14ac:dyDescent="0.2">
      <c r="A32" s="211"/>
      <c r="B32" s="212"/>
      <c r="C32" s="213"/>
      <c r="D32" s="219"/>
      <c r="E32" s="188"/>
      <c r="F32" s="188"/>
      <c r="G32" s="190">
        <v>530403</v>
      </c>
      <c r="H32" s="194"/>
      <c r="I32" s="192">
        <v>4944.62</v>
      </c>
      <c r="J32" s="215">
        <f>+H33+I32</f>
        <v>4944.62</v>
      </c>
      <c r="K32" s="30" t="s">
        <v>515</v>
      </c>
      <c r="L32" s="30" t="s">
        <v>504</v>
      </c>
      <c r="M32" s="98">
        <v>44526</v>
      </c>
      <c r="N32" s="107" t="s">
        <v>505</v>
      </c>
      <c r="O32" s="30">
        <f>320-320</f>
        <v>0</v>
      </c>
      <c r="P32" s="101">
        <v>4700019687</v>
      </c>
      <c r="Q32" s="30">
        <v>320</v>
      </c>
      <c r="R32" s="30">
        <v>320</v>
      </c>
      <c r="S32" s="215">
        <f>J32-O33-Q33-O32-Q32</f>
        <v>0</v>
      </c>
    </row>
    <row r="33" spans="1:19" ht="21" customHeight="1" x14ac:dyDescent="0.2">
      <c r="A33" s="211"/>
      <c r="B33" s="212"/>
      <c r="C33" s="213"/>
      <c r="D33" s="219"/>
      <c r="E33" s="188"/>
      <c r="F33" s="188"/>
      <c r="G33" s="191"/>
      <c r="H33" s="196"/>
      <c r="I33" s="193"/>
      <c r="J33" s="217"/>
      <c r="K33" s="30" t="s">
        <v>521</v>
      </c>
      <c r="L33" s="186" t="s">
        <v>499</v>
      </c>
      <c r="M33" s="98" t="s">
        <v>500</v>
      </c>
      <c r="N33" s="107" t="s">
        <v>501</v>
      </c>
      <c r="O33" s="30">
        <f>4624.62-4624.5</f>
        <v>0.11999999999989086</v>
      </c>
      <c r="P33" s="101">
        <v>4700019718</v>
      </c>
      <c r="Q33" s="186">
        <v>4624.5</v>
      </c>
      <c r="R33" s="186">
        <v>4624.5</v>
      </c>
      <c r="S33" s="217"/>
    </row>
    <row r="34" spans="1:19" ht="21" customHeight="1" x14ac:dyDescent="0.2">
      <c r="A34" s="211"/>
      <c r="B34" s="212"/>
      <c r="C34" s="213"/>
      <c r="D34" s="219"/>
      <c r="E34" s="188"/>
      <c r="F34" s="188"/>
      <c r="G34" s="190">
        <v>531408</v>
      </c>
      <c r="H34" s="194"/>
      <c r="I34" s="192">
        <v>1055.3800000000001</v>
      </c>
      <c r="J34" s="215">
        <f>+H35+I34</f>
        <v>1055.3800000000001</v>
      </c>
      <c r="K34" s="30" t="s">
        <v>512</v>
      </c>
      <c r="L34" s="30" t="s">
        <v>513</v>
      </c>
      <c r="M34" s="223">
        <v>44522</v>
      </c>
      <c r="N34" s="226" t="s">
        <v>492</v>
      </c>
      <c r="O34" s="215">
        <f>1055.38-469.74-585.64</f>
        <v>0</v>
      </c>
      <c r="P34" s="101">
        <v>4100009005</v>
      </c>
      <c r="Q34" s="30">
        <v>469.74</v>
      </c>
      <c r="R34" s="30">
        <v>469.74</v>
      </c>
      <c r="S34" s="215">
        <f>J34-O34-Q35-Q34</f>
        <v>0</v>
      </c>
    </row>
    <row r="35" spans="1:19" ht="21" customHeight="1" x14ac:dyDescent="0.2">
      <c r="A35" s="211"/>
      <c r="B35" s="212"/>
      <c r="C35" s="213"/>
      <c r="D35" s="219"/>
      <c r="E35" s="188"/>
      <c r="F35" s="188"/>
      <c r="G35" s="191"/>
      <c r="H35" s="196"/>
      <c r="I35" s="193"/>
      <c r="J35" s="217"/>
      <c r="K35" s="30" t="s">
        <v>520</v>
      </c>
      <c r="L35" s="30" t="s">
        <v>491</v>
      </c>
      <c r="M35" s="225"/>
      <c r="N35" s="227"/>
      <c r="O35" s="217"/>
      <c r="P35" s="101">
        <v>4100009004</v>
      </c>
      <c r="Q35" s="30">
        <v>585.64</v>
      </c>
      <c r="R35" s="30">
        <v>585.64</v>
      </c>
      <c r="S35" s="217"/>
    </row>
    <row r="36" spans="1:19" ht="22.5" x14ac:dyDescent="0.2">
      <c r="A36" s="211"/>
      <c r="B36" s="212"/>
      <c r="C36" s="213"/>
      <c r="D36" s="219"/>
      <c r="E36" s="188"/>
      <c r="F36" s="188"/>
      <c r="G36" s="9">
        <v>530404</v>
      </c>
      <c r="H36" s="25">
        <v>2000</v>
      </c>
      <c r="I36" s="44">
        <f>-208+1000+6056</f>
        <v>6848</v>
      </c>
      <c r="J36" s="30">
        <f>H36+I36</f>
        <v>8848</v>
      </c>
      <c r="K36" s="18" t="s">
        <v>372</v>
      </c>
      <c r="L36" s="30" t="s">
        <v>346</v>
      </c>
      <c r="M36" s="98">
        <v>44299</v>
      </c>
      <c r="N36" s="107" t="s">
        <v>347</v>
      </c>
      <c r="O36" s="30">
        <f>1792-1792</f>
        <v>0</v>
      </c>
      <c r="P36" s="101">
        <v>4700018819</v>
      </c>
      <c r="Q36" s="30">
        <v>1792</v>
      </c>
      <c r="R36" s="30">
        <v>1792</v>
      </c>
      <c r="S36" s="30">
        <f t="shared" si="1"/>
        <v>7056</v>
      </c>
    </row>
    <row r="37" spans="1:19" ht="21" customHeight="1" x14ac:dyDescent="0.2">
      <c r="A37" s="211"/>
      <c r="B37" s="212"/>
      <c r="C37" s="213"/>
      <c r="D37" s="219"/>
      <c r="E37" s="188"/>
      <c r="F37" s="188"/>
      <c r="G37" s="190">
        <v>530405</v>
      </c>
      <c r="H37" s="194">
        <v>10000</v>
      </c>
      <c r="I37" s="192">
        <f>-2409.8-572.01</f>
        <v>-2981.8100000000004</v>
      </c>
      <c r="J37" s="215">
        <f>H37+I37</f>
        <v>7018.19</v>
      </c>
      <c r="K37" s="30"/>
      <c r="L37" s="30" t="s">
        <v>472</v>
      </c>
      <c r="M37" s="98">
        <v>44484</v>
      </c>
      <c r="N37" s="107" t="s">
        <v>473</v>
      </c>
      <c r="O37" s="30">
        <v>887.46</v>
      </c>
      <c r="P37" s="101"/>
      <c r="Q37" s="30"/>
      <c r="R37" s="30"/>
      <c r="S37" s="215">
        <f>J37-O38-Q38-O37-Q37</f>
        <v>3285.7299999999996</v>
      </c>
    </row>
    <row r="38" spans="1:19" ht="26.25" customHeight="1" x14ac:dyDescent="0.2">
      <c r="A38" s="211"/>
      <c r="B38" s="212"/>
      <c r="C38" s="213"/>
      <c r="D38" s="219"/>
      <c r="E38" s="188"/>
      <c r="F38" s="188"/>
      <c r="G38" s="191"/>
      <c r="H38" s="196"/>
      <c r="I38" s="193"/>
      <c r="J38" s="217"/>
      <c r="K38" s="109" t="s">
        <v>436</v>
      </c>
      <c r="L38" s="18" t="s">
        <v>434</v>
      </c>
      <c r="M38" s="98">
        <v>44425</v>
      </c>
      <c r="N38" s="107" t="s">
        <v>435</v>
      </c>
      <c r="O38" s="30">
        <f>2845-2845</f>
        <v>0</v>
      </c>
      <c r="P38" s="101">
        <v>4700019226</v>
      </c>
      <c r="Q38" s="30">
        <v>2845</v>
      </c>
      <c r="R38" s="30">
        <v>2845</v>
      </c>
      <c r="S38" s="217"/>
    </row>
    <row r="39" spans="1:19" ht="24" customHeight="1" x14ac:dyDescent="0.2">
      <c r="A39" s="211"/>
      <c r="B39" s="212"/>
      <c r="C39" s="213"/>
      <c r="D39" s="219"/>
      <c r="E39" s="188"/>
      <c r="F39" s="188"/>
      <c r="G39" s="190">
        <v>530502</v>
      </c>
      <c r="H39" s="194">
        <v>19000</v>
      </c>
      <c r="I39" s="192">
        <v>35000</v>
      </c>
      <c r="J39" s="215">
        <f>+H39+I39</f>
        <v>54000</v>
      </c>
      <c r="K39" s="109" t="s">
        <v>338</v>
      </c>
      <c r="L39" s="215" t="s">
        <v>335</v>
      </c>
      <c r="M39" s="223">
        <v>44257</v>
      </c>
      <c r="N39" s="226" t="s">
        <v>336</v>
      </c>
      <c r="O39" s="215">
        <f>19000-1299.57-3067.35-122.94-104.19-126.06-433.19-34.73-34.73-63.03-433.19-1766.25-4244.85-63.03-1611.2-433.19-34.73-63.03-433.19-34.73-433.19-63.03-34.73-63.03-433.19-34.73-63.03-433.19-34.73-63.03-433.19-34.73-330.87-63.03-34.73-433.19</f>
        <v>1611.2000000000003</v>
      </c>
      <c r="P39" s="101">
        <v>2000069763</v>
      </c>
      <c r="Q39" s="30">
        <f>3067.35+1766.25+4244.85+1611.2+330.87</f>
        <v>11020.520000000002</v>
      </c>
      <c r="R39" s="119">
        <v>10689.65</v>
      </c>
      <c r="S39" s="215">
        <f>J39-O39-Q42-Q41-Q40-Q39-O44-Q44-Q43</f>
        <v>9084.0499999999993</v>
      </c>
    </row>
    <row r="40" spans="1:19" ht="24" customHeight="1" x14ac:dyDescent="0.2">
      <c r="A40" s="211"/>
      <c r="B40" s="212"/>
      <c r="C40" s="213"/>
      <c r="D40" s="219"/>
      <c r="E40" s="188"/>
      <c r="F40" s="188"/>
      <c r="G40" s="201"/>
      <c r="H40" s="195"/>
      <c r="I40" s="200"/>
      <c r="J40" s="216"/>
      <c r="K40" s="109" t="s">
        <v>339</v>
      </c>
      <c r="L40" s="216"/>
      <c r="M40" s="224"/>
      <c r="N40" s="230"/>
      <c r="O40" s="216"/>
      <c r="P40" s="101">
        <v>2000069769</v>
      </c>
      <c r="Q40" s="30">
        <f>122.94+126.06+63.03+63.03+63.03+63.03+63.03+63.03+63.03+63.03</f>
        <v>753.23999999999978</v>
      </c>
      <c r="R40" s="119">
        <v>753.24</v>
      </c>
      <c r="S40" s="216"/>
    </row>
    <row r="41" spans="1:19" ht="24" customHeight="1" x14ac:dyDescent="0.2">
      <c r="A41" s="211"/>
      <c r="B41" s="212"/>
      <c r="C41" s="213"/>
      <c r="D41" s="219"/>
      <c r="E41" s="188"/>
      <c r="F41" s="188"/>
      <c r="G41" s="201"/>
      <c r="H41" s="195"/>
      <c r="I41" s="200"/>
      <c r="J41" s="216"/>
      <c r="K41" s="18" t="s">
        <v>357</v>
      </c>
      <c r="L41" s="216"/>
      <c r="M41" s="224"/>
      <c r="N41" s="230"/>
      <c r="O41" s="216"/>
      <c r="P41" s="101">
        <v>2000069824</v>
      </c>
      <c r="Q41" s="30">
        <f>104.19+34.73+34.73+34.73+34.73+34.73+34.73+34.73+34.73+34.73</f>
        <v>416.76000000000005</v>
      </c>
      <c r="R41" s="119">
        <v>416.76</v>
      </c>
      <c r="S41" s="216"/>
    </row>
    <row r="42" spans="1:19" ht="19.5" customHeight="1" x14ac:dyDescent="0.2">
      <c r="A42" s="211"/>
      <c r="B42" s="212"/>
      <c r="C42" s="213"/>
      <c r="D42" s="219"/>
      <c r="E42" s="188"/>
      <c r="F42" s="188"/>
      <c r="G42" s="201"/>
      <c r="H42" s="195"/>
      <c r="I42" s="200"/>
      <c r="J42" s="216"/>
      <c r="K42" s="18" t="s">
        <v>337</v>
      </c>
      <c r="L42" s="217"/>
      <c r="M42" s="225"/>
      <c r="N42" s="227"/>
      <c r="O42" s="217"/>
      <c r="P42" s="101">
        <v>2000069756</v>
      </c>
      <c r="Q42" s="30">
        <f>1299.57+433.19+433.19+433.19+433.19+433.19+433.19+433.19+433.19+433.19</f>
        <v>5198.2799999999988</v>
      </c>
      <c r="R42" s="119">
        <v>5198.28</v>
      </c>
      <c r="S42" s="216"/>
    </row>
    <row r="43" spans="1:19" ht="19.5" customHeight="1" x14ac:dyDescent="0.2">
      <c r="A43" s="211"/>
      <c r="B43" s="212"/>
      <c r="C43" s="213"/>
      <c r="D43" s="219"/>
      <c r="E43" s="188"/>
      <c r="F43" s="188"/>
      <c r="G43" s="201"/>
      <c r="H43" s="195"/>
      <c r="I43" s="200"/>
      <c r="J43" s="216"/>
      <c r="K43" s="109" t="s">
        <v>338</v>
      </c>
      <c r="L43" s="175" t="s">
        <v>519</v>
      </c>
      <c r="M43" s="170">
        <v>44547</v>
      </c>
      <c r="N43" s="171"/>
      <c r="O43" s="169"/>
      <c r="P43" s="101">
        <v>2000072575</v>
      </c>
      <c r="Q43" s="30">
        <v>17859.95</v>
      </c>
      <c r="R43" s="119"/>
      <c r="S43" s="216"/>
    </row>
    <row r="44" spans="1:19" ht="22.5" customHeight="1" x14ac:dyDescent="0.2">
      <c r="A44" s="211"/>
      <c r="B44" s="212"/>
      <c r="C44" s="213"/>
      <c r="D44" s="219"/>
      <c r="E44" s="188"/>
      <c r="F44" s="188"/>
      <c r="G44" s="201"/>
      <c r="H44" s="195"/>
      <c r="I44" s="200"/>
      <c r="J44" s="216"/>
      <c r="K44" s="109" t="s">
        <v>338</v>
      </c>
      <c r="L44" s="165" t="s">
        <v>495</v>
      </c>
      <c r="M44" s="166">
        <v>44526</v>
      </c>
      <c r="N44" s="167" t="s">
        <v>496</v>
      </c>
      <c r="O44" s="165">
        <f>7725.13-7725.13+330.87-330.87</f>
        <v>0</v>
      </c>
      <c r="P44" s="101">
        <v>200072109</v>
      </c>
      <c r="Q44" s="30">
        <f>7725.13+330.87</f>
        <v>8056</v>
      </c>
      <c r="R44" s="30">
        <v>8056</v>
      </c>
      <c r="S44" s="217"/>
    </row>
    <row r="45" spans="1:19" ht="22.5" x14ac:dyDescent="0.2">
      <c r="A45" s="211"/>
      <c r="B45" s="212"/>
      <c r="C45" s="213"/>
      <c r="D45" s="214" t="s">
        <v>167</v>
      </c>
      <c r="E45" s="202">
        <v>44197</v>
      </c>
      <c r="F45" s="202">
        <v>44561</v>
      </c>
      <c r="G45" s="190">
        <v>570102</v>
      </c>
      <c r="H45" s="194">
        <v>2500</v>
      </c>
      <c r="I45" s="192">
        <f>1200+1000</f>
        <v>2200</v>
      </c>
      <c r="J45" s="215">
        <f t="shared" si="0"/>
        <v>4700</v>
      </c>
      <c r="K45" s="109" t="s">
        <v>354</v>
      </c>
      <c r="L45" s="109" t="s">
        <v>355</v>
      </c>
      <c r="M45" s="233">
        <v>44302</v>
      </c>
      <c r="N45" s="229" t="s">
        <v>391</v>
      </c>
      <c r="O45" s="215">
        <f>2500-1190.59-1224.34+1116.63-900.53-216.1</f>
        <v>85.070000000000306</v>
      </c>
      <c r="P45" s="101">
        <v>2000070310</v>
      </c>
      <c r="Q45" s="30">
        <v>1190.5899999999999</v>
      </c>
      <c r="R45" s="30">
        <v>1190.5899999999999</v>
      </c>
      <c r="S45" s="215">
        <f>J45-O45-Q45-Q51-Q46-Q47-O51-Q48-O49-Q49-Q50</f>
        <v>351.62999999999926</v>
      </c>
    </row>
    <row r="46" spans="1:19" ht="22.5" x14ac:dyDescent="0.2">
      <c r="A46" s="211"/>
      <c r="B46" s="212"/>
      <c r="C46" s="213"/>
      <c r="D46" s="214"/>
      <c r="E46" s="202"/>
      <c r="F46" s="202"/>
      <c r="G46" s="201"/>
      <c r="H46" s="195"/>
      <c r="I46" s="200"/>
      <c r="J46" s="216"/>
      <c r="K46" s="109" t="s">
        <v>354</v>
      </c>
      <c r="L46" s="109" t="s">
        <v>355</v>
      </c>
      <c r="M46" s="233"/>
      <c r="N46" s="229"/>
      <c r="O46" s="216"/>
      <c r="P46" s="101">
        <v>2000070878</v>
      </c>
      <c r="Q46" s="30">
        <v>216.1</v>
      </c>
      <c r="R46" s="30">
        <v>216.1</v>
      </c>
      <c r="S46" s="216"/>
    </row>
    <row r="47" spans="1:19" ht="22.5" customHeight="1" x14ac:dyDescent="0.2">
      <c r="A47" s="211"/>
      <c r="B47" s="212"/>
      <c r="C47" s="213"/>
      <c r="D47" s="214"/>
      <c r="E47" s="202"/>
      <c r="F47" s="202"/>
      <c r="G47" s="201"/>
      <c r="H47" s="195"/>
      <c r="I47" s="200"/>
      <c r="J47" s="216"/>
      <c r="K47" s="18" t="s">
        <v>356</v>
      </c>
      <c r="L47" s="109" t="s">
        <v>355</v>
      </c>
      <c r="M47" s="233"/>
      <c r="N47" s="229"/>
      <c r="O47" s="216"/>
      <c r="P47" s="101">
        <v>2000070879</v>
      </c>
      <c r="Q47" s="30">
        <v>900.53</v>
      </c>
      <c r="R47" s="30">
        <v>900.53</v>
      </c>
      <c r="S47" s="216"/>
    </row>
    <row r="48" spans="1:19" ht="32.25" customHeight="1" x14ac:dyDescent="0.2">
      <c r="A48" s="211"/>
      <c r="B48" s="212"/>
      <c r="C48" s="213"/>
      <c r="D48" s="214"/>
      <c r="E48" s="202"/>
      <c r="F48" s="202"/>
      <c r="G48" s="201"/>
      <c r="H48" s="195"/>
      <c r="I48" s="200"/>
      <c r="J48" s="216"/>
      <c r="K48" s="160" t="s">
        <v>356</v>
      </c>
      <c r="L48" s="161" t="s">
        <v>355</v>
      </c>
      <c r="M48" s="223"/>
      <c r="N48" s="226"/>
      <c r="O48" s="216"/>
      <c r="P48" s="101">
        <v>2000070309</v>
      </c>
      <c r="Q48" s="30">
        <v>1224.3399999999999</v>
      </c>
      <c r="R48" s="30">
        <v>1224.3399999999999</v>
      </c>
      <c r="S48" s="216"/>
    </row>
    <row r="49" spans="1:19" ht="32.25" customHeight="1" x14ac:dyDescent="0.2">
      <c r="A49" s="211"/>
      <c r="B49" s="212"/>
      <c r="C49" s="213"/>
      <c r="D49" s="214"/>
      <c r="E49" s="202"/>
      <c r="F49" s="202"/>
      <c r="G49" s="201"/>
      <c r="H49" s="195"/>
      <c r="I49" s="200"/>
      <c r="J49" s="216"/>
      <c r="K49" s="109" t="s">
        <v>354</v>
      </c>
      <c r="L49" s="231" t="s">
        <v>355</v>
      </c>
      <c r="M49" s="223">
        <v>44515</v>
      </c>
      <c r="N49" s="226" t="s">
        <v>485</v>
      </c>
      <c r="O49" s="215">
        <f>696.74-263.82-432.92</f>
        <v>0</v>
      </c>
      <c r="P49" s="101">
        <v>2000071955</v>
      </c>
      <c r="Q49" s="30">
        <v>263.82</v>
      </c>
      <c r="R49" s="30">
        <v>263.82</v>
      </c>
      <c r="S49" s="216"/>
    </row>
    <row r="50" spans="1:19" ht="32.25" customHeight="1" x14ac:dyDescent="0.2">
      <c r="A50" s="211"/>
      <c r="B50" s="212"/>
      <c r="C50" s="213"/>
      <c r="D50" s="214"/>
      <c r="E50" s="202"/>
      <c r="F50" s="202"/>
      <c r="G50" s="201"/>
      <c r="H50" s="195"/>
      <c r="I50" s="200"/>
      <c r="J50" s="216"/>
      <c r="K50" s="18" t="s">
        <v>356</v>
      </c>
      <c r="L50" s="232"/>
      <c r="M50" s="225"/>
      <c r="N50" s="227"/>
      <c r="O50" s="217"/>
      <c r="P50" s="101">
        <v>2000071954</v>
      </c>
      <c r="Q50" s="30">
        <v>432.92</v>
      </c>
      <c r="R50" s="30">
        <v>432.92</v>
      </c>
      <c r="S50" s="216"/>
    </row>
    <row r="51" spans="1:19" ht="27.75" customHeight="1" x14ac:dyDescent="0.2">
      <c r="A51" s="211"/>
      <c r="B51" s="212"/>
      <c r="C51" s="213"/>
      <c r="D51" s="214"/>
      <c r="E51" s="202"/>
      <c r="F51" s="202"/>
      <c r="G51" s="191"/>
      <c r="H51" s="196"/>
      <c r="I51" s="193"/>
      <c r="J51" s="217"/>
      <c r="K51" s="162" t="s">
        <v>484</v>
      </c>
      <c r="L51" s="137" t="s">
        <v>437</v>
      </c>
      <c r="M51" s="138">
        <v>44426</v>
      </c>
      <c r="N51" s="163" t="s">
        <v>438</v>
      </c>
      <c r="O51" s="152">
        <f>35-35</f>
        <v>0</v>
      </c>
      <c r="P51" s="101">
        <v>2000071496</v>
      </c>
      <c r="Q51" s="30">
        <v>35</v>
      </c>
      <c r="R51" s="30">
        <v>35</v>
      </c>
      <c r="S51" s="217"/>
    </row>
    <row r="52" spans="1:19" ht="22.5" x14ac:dyDescent="0.2">
      <c r="A52" s="211"/>
      <c r="B52" s="212"/>
      <c r="C52" s="213"/>
      <c r="D52" s="214"/>
      <c r="E52" s="202"/>
      <c r="F52" s="202"/>
      <c r="G52" s="9">
        <v>570203</v>
      </c>
      <c r="H52" s="25">
        <v>170</v>
      </c>
      <c r="I52" s="44"/>
      <c r="J52" s="30">
        <f t="shared" si="0"/>
        <v>170</v>
      </c>
      <c r="K52" s="30" t="s">
        <v>329</v>
      </c>
      <c r="L52" s="30" t="s">
        <v>330</v>
      </c>
      <c r="M52" s="98"/>
      <c r="N52" s="107"/>
      <c r="O52" s="30"/>
      <c r="P52" s="101">
        <v>2000069479</v>
      </c>
      <c r="Q52" s="30">
        <v>48</v>
      </c>
      <c r="R52" s="30">
        <v>28.2</v>
      </c>
      <c r="S52" s="30">
        <f t="shared" si="1"/>
        <v>122</v>
      </c>
    </row>
    <row r="53" spans="1:19" ht="18" customHeight="1" x14ac:dyDescent="0.2">
      <c r="A53" s="211"/>
      <c r="B53" s="212"/>
      <c r="C53" s="213"/>
      <c r="D53" s="214"/>
      <c r="E53" s="202"/>
      <c r="F53" s="202"/>
      <c r="G53" s="9">
        <v>570206</v>
      </c>
      <c r="H53" s="25">
        <v>100</v>
      </c>
      <c r="I53" s="44"/>
      <c r="J53" s="30">
        <f t="shared" si="0"/>
        <v>100</v>
      </c>
      <c r="K53" s="18"/>
      <c r="L53" s="18"/>
      <c r="M53" s="98"/>
      <c r="N53" s="107"/>
      <c r="O53" s="30"/>
      <c r="P53" s="101"/>
      <c r="Q53" s="30"/>
      <c r="R53" s="30"/>
      <c r="S53" s="30">
        <f t="shared" si="1"/>
        <v>100</v>
      </c>
    </row>
    <row r="54" spans="1:19" ht="23.25" customHeight="1" x14ac:dyDescent="0.2">
      <c r="A54" s="211"/>
      <c r="B54" s="212"/>
      <c r="C54" s="213"/>
      <c r="D54" s="218" t="s">
        <v>168</v>
      </c>
      <c r="E54" s="187">
        <v>44287</v>
      </c>
      <c r="F54" s="187">
        <v>44316</v>
      </c>
      <c r="G54" s="9">
        <v>530704</v>
      </c>
      <c r="H54" s="25"/>
      <c r="I54" s="44">
        <f>7176.96</f>
        <v>7176.96</v>
      </c>
      <c r="J54" s="30">
        <f t="shared" si="0"/>
        <v>7176.96</v>
      </c>
      <c r="K54" s="109" t="s">
        <v>381</v>
      </c>
      <c r="L54" s="30" t="s">
        <v>358</v>
      </c>
      <c r="M54" s="98">
        <v>44312</v>
      </c>
      <c r="N54" s="122" t="s">
        <v>359</v>
      </c>
      <c r="O54" s="30">
        <f>7176.96-7176.96</f>
        <v>0</v>
      </c>
      <c r="P54" s="101">
        <v>4700018910</v>
      </c>
      <c r="Q54" s="30">
        <v>7176.96</v>
      </c>
      <c r="R54" s="30">
        <v>7176.96</v>
      </c>
      <c r="S54" s="30">
        <f t="shared" si="1"/>
        <v>0</v>
      </c>
    </row>
    <row r="55" spans="1:19" ht="23.25" customHeight="1" x14ac:dyDescent="0.2">
      <c r="A55" s="211"/>
      <c r="B55" s="212"/>
      <c r="C55" s="213"/>
      <c r="D55" s="219"/>
      <c r="E55" s="188"/>
      <c r="F55" s="188"/>
      <c r="G55" s="154">
        <v>530702</v>
      </c>
      <c r="H55" s="158"/>
      <c r="I55" s="159">
        <v>6416.07</v>
      </c>
      <c r="J55" s="30">
        <f t="shared" si="0"/>
        <v>6416.07</v>
      </c>
      <c r="K55" s="109" t="s">
        <v>514</v>
      </c>
      <c r="L55" s="30" t="s">
        <v>502</v>
      </c>
      <c r="M55" s="98">
        <v>44530</v>
      </c>
      <c r="N55" s="164" t="s">
        <v>503</v>
      </c>
      <c r="O55" s="30">
        <f>6397.5-6397.5</f>
        <v>0</v>
      </c>
      <c r="P55" s="101">
        <v>4700019685</v>
      </c>
      <c r="Q55" s="30">
        <v>6397.5</v>
      </c>
      <c r="R55" s="30">
        <v>6397.5</v>
      </c>
      <c r="S55" s="30">
        <f t="shared" si="1"/>
        <v>18.569999999999709</v>
      </c>
    </row>
    <row r="56" spans="1:19" ht="23.25" customHeight="1" x14ac:dyDescent="0.2">
      <c r="A56" s="211"/>
      <c r="B56" s="212"/>
      <c r="C56" s="213"/>
      <c r="D56" s="219"/>
      <c r="E56" s="188"/>
      <c r="F56" s="188"/>
      <c r="G56" s="190">
        <v>530813</v>
      </c>
      <c r="H56" s="194">
        <v>6000</v>
      </c>
      <c r="I56" s="192">
        <f>3184.29-3184.29-3478.56+4000+572.01+219.08</f>
        <v>1312.53</v>
      </c>
      <c r="J56" s="215">
        <f>H56+I56</f>
        <v>7312.53</v>
      </c>
      <c r="K56" s="109" t="s">
        <v>411</v>
      </c>
      <c r="L56" s="30" t="s">
        <v>389</v>
      </c>
      <c r="M56" s="98">
        <v>44382</v>
      </c>
      <c r="N56" s="122" t="s">
        <v>390</v>
      </c>
      <c r="O56" s="30">
        <f>1819.89-1819.89</f>
        <v>0</v>
      </c>
      <c r="P56" s="101">
        <v>4700019022</v>
      </c>
      <c r="Q56" s="30">
        <v>1819.89</v>
      </c>
      <c r="R56" s="30">
        <v>1819.89</v>
      </c>
      <c r="S56" s="215">
        <f>J56-O59-Q59-O56-O57-Q56-Q57-O58-Q58</f>
        <v>322.62999999999943</v>
      </c>
    </row>
    <row r="57" spans="1:19" ht="23.25" customHeight="1" x14ac:dyDescent="0.2">
      <c r="A57" s="211"/>
      <c r="B57" s="212"/>
      <c r="C57" s="213"/>
      <c r="D57" s="219"/>
      <c r="E57" s="188"/>
      <c r="F57" s="188"/>
      <c r="G57" s="201"/>
      <c r="H57" s="195"/>
      <c r="I57" s="200"/>
      <c r="J57" s="216"/>
      <c r="K57" s="109"/>
      <c r="L57" s="30" t="s">
        <v>389</v>
      </c>
      <c r="M57" s="98">
        <v>44392</v>
      </c>
      <c r="N57" s="122" t="s">
        <v>397</v>
      </c>
      <c r="O57" s="30">
        <f>2110.15-1854-256.15</f>
        <v>0</v>
      </c>
      <c r="P57" s="101">
        <v>4100008772</v>
      </c>
      <c r="Q57" s="30">
        <v>1854</v>
      </c>
      <c r="R57" s="30">
        <v>1854</v>
      </c>
      <c r="S57" s="216"/>
    </row>
    <row r="58" spans="1:19" ht="23.25" customHeight="1" x14ac:dyDescent="0.2">
      <c r="A58" s="211"/>
      <c r="B58" s="212"/>
      <c r="C58" s="213"/>
      <c r="D58" s="219"/>
      <c r="E58" s="188"/>
      <c r="F58" s="188"/>
      <c r="G58" s="201"/>
      <c r="H58" s="195"/>
      <c r="I58" s="200"/>
      <c r="J58" s="216"/>
      <c r="K58" s="109"/>
      <c r="L58" s="30" t="s">
        <v>469</v>
      </c>
      <c r="M58" s="98">
        <v>44484</v>
      </c>
      <c r="N58" s="151" t="s">
        <v>470</v>
      </c>
      <c r="O58" s="30">
        <v>554.01</v>
      </c>
      <c r="P58" s="101"/>
      <c r="Q58" s="30"/>
      <c r="R58" s="30"/>
      <c r="S58" s="216"/>
    </row>
    <row r="59" spans="1:19" ht="24.75" customHeight="1" x14ac:dyDescent="0.2">
      <c r="A59" s="211"/>
      <c r="B59" s="212"/>
      <c r="C59" s="213"/>
      <c r="D59" s="222"/>
      <c r="E59" s="189"/>
      <c r="F59" s="189"/>
      <c r="G59" s="191"/>
      <c r="H59" s="196"/>
      <c r="I59" s="193"/>
      <c r="J59" s="217"/>
      <c r="K59" s="109" t="s">
        <v>436</v>
      </c>
      <c r="L59" s="30" t="s">
        <v>432</v>
      </c>
      <c r="M59" s="98">
        <v>44425</v>
      </c>
      <c r="N59" s="122" t="s">
        <v>433</v>
      </c>
      <c r="O59" s="30">
        <f>2762-2757</f>
        <v>5</v>
      </c>
      <c r="P59" s="101">
        <v>4700019227</v>
      </c>
      <c r="Q59" s="30">
        <v>2757</v>
      </c>
      <c r="R59" s="30">
        <v>2757</v>
      </c>
      <c r="S59" s="217"/>
    </row>
    <row r="60" spans="1:19" x14ac:dyDescent="0.2">
      <c r="A60" s="220"/>
      <c r="B60" s="220"/>
      <c r="C60" s="220"/>
      <c r="D60" s="220"/>
      <c r="E60" s="220"/>
      <c r="F60" s="220"/>
      <c r="G60" s="221"/>
      <c r="H60" s="19">
        <f>SUM(H5:H56)</f>
        <v>848315</v>
      </c>
      <c r="I60" s="19">
        <f>SUM(I5:I56)</f>
        <v>2.0463630789890885E-12</v>
      </c>
      <c r="J60" s="19">
        <f>SUM(J5:J56)</f>
        <v>848314.99999999988</v>
      </c>
      <c r="K60" s="205"/>
      <c r="L60" s="206"/>
      <c r="M60" s="206"/>
      <c r="N60" s="207"/>
      <c r="O60" s="108">
        <f>SUM(O5:O59)</f>
        <v>39626.869999999995</v>
      </c>
      <c r="P60" s="105"/>
      <c r="Q60" s="29">
        <f>SUM(Q5:Q59)</f>
        <v>727927.6399999999</v>
      </c>
      <c r="R60" s="29">
        <f>SUM(R5:R59)</f>
        <v>656154.15</v>
      </c>
      <c r="S60" s="86">
        <f>SUM(S5:S56)</f>
        <v>80760.49000000002</v>
      </c>
    </row>
    <row r="61" spans="1:19" x14ac:dyDescent="0.2">
      <c r="A61" s="203"/>
      <c r="B61" s="203"/>
      <c r="C61" s="203"/>
      <c r="D61" s="203"/>
      <c r="E61" s="203"/>
      <c r="F61" s="203"/>
      <c r="G61" s="204"/>
      <c r="H61" s="26">
        <f>+H60</f>
        <v>848315</v>
      </c>
      <c r="I61" s="26">
        <f>+I60</f>
        <v>2.0463630789890885E-12</v>
      </c>
      <c r="J61" s="21">
        <f>+J60</f>
        <v>848314.99999999988</v>
      </c>
      <c r="K61" s="208"/>
      <c r="L61" s="209"/>
      <c r="M61" s="209"/>
      <c r="N61" s="210"/>
      <c r="O61" s="26">
        <f>+O60</f>
        <v>39626.869999999995</v>
      </c>
      <c r="P61" s="106"/>
      <c r="Q61" s="21">
        <f t="shared" ref="Q61:S61" si="2">+Q60</f>
        <v>727927.6399999999</v>
      </c>
      <c r="R61" s="21">
        <f t="shared" si="2"/>
        <v>656154.15</v>
      </c>
      <c r="S61" s="21">
        <f t="shared" si="2"/>
        <v>80760.49000000002</v>
      </c>
    </row>
    <row r="63" spans="1:19" ht="12.75" x14ac:dyDescent="0.2">
      <c r="O63" s="126"/>
      <c r="Q63" s="126"/>
      <c r="R63" s="92" t="s">
        <v>310</v>
      </c>
      <c r="S63" s="92"/>
    </row>
    <row r="64" spans="1:19" x14ac:dyDescent="0.2">
      <c r="O64" s="148"/>
      <c r="Q64" s="126"/>
      <c r="R64" s="127"/>
      <c r="S64" s="127"/>
    </row>
  </sheetData>
  <mergeCells count="108">
    <mergeCell ref="I45:I51"/>
    <mergeCell ref="J45:J51"/>
    <mergeCell ref="J56:J59"/>
    <mergeCell ref="S39:S44"/>
    <mergeCell ref="I32:I33"/>
    <mergeCell ref="I39:I44"/>
    <mergeCell ref="I37:I38"/>
    <mergeCell ref="O39:O42"/>
    <mergeCell ref="M39:M42"/>
    <mergeCell ref="N39:N42"/>
    <mergeCell ref="J37:J38"/>
    <mergeCell ref="L49:L50"/>
    <mergeCell ref="M49:M50"/>
    <mergeCell ref="N49:N50"/>
    <mergeCell ref="O45:O48"/>
    <mergeCell ref="S45:S51"/>
    <mergeCell ref="O49:O50"/>
    <mergeCell ref="M45:M48"/>
    <mergeCell ref="N45:N48"/>
    <mergeCell ref="S56:S59"/>
    <mergeCell ref="O20:O21"/>
    <mergeCell ref="O22:O23"/>
    <mergeCell ref="G7:G8"/>
    <mergeCell ref="H7:H8"/>
    <mergeCell ref="G10:G13"/>
    <mergeCell ref="H16:H18"/>
    <mergeCell ref="M17:M18"/>
    <mergeCell ref="N17:N18"/>
    <mergeCell ref="I20:I23"/>
    <mergeCell ref="J20:J23"/>
    <mergeCell ref="L20:L23"/>
    <mergeCell ref="N20:N21"/>
    <mergeCell ref="N22:N23"/>
    <mergeCell ref="I16:I18"/>
    <mergeCell ref="J16:J18"/>
    <mergeCell ref="L17:L18"/>
    <mergeCell ref="S7:S8"/>
    <mergeCell ref="J7:J8"/>
    <mergeCell ref="S37:S38"/>
    <mergeCell ref="M20:M23"/>
    <mergeCell ref="S27:S30"/>
    <mergeCell ref="S24:S26"/>
    <mergeCell ref="J27:J30"/>
    <mergeCell ref="J10:J13"/>
    <mergeCell ref="S10:S13"/>
    <mergeCell ref="S32:S33"/>
    <mergeCell ref="S16:S18"/>
    <mergeCell ref="J24:J26"/>
    <mergeCell ref="S34:S35"/>
    <mergeCell ref="K28:K29"/>
    <mergeCell ref="L28:L29"/>
    <mergeCell ref="M28:M29"/>
    <mergeCell ref="N28:N29"/>
    <mergeCell ref="O28:O29"/>
    <mergeCell ref="J34:J35"/>
    <mergeCell ref="M34:M35"/>
    <mergeCell ref="N34:N35"/>
    <mergeCell ref="O34:O35"/>
    <mergeCell ref="S20:S23"/>
    <mergeCell ref="O17:O18"/>
    <mergeCell ref="A61:G61"/>
    <mergeCell ref="K60:N60"/>
    <mergeCell ref="K61:N61"/>
    <mergeCell ref="A5:A59"/>
    <mergeCell ref="B5:B59"/>
    <mergeCell ref="C5:C59"/>
    <mergeCell ref="D5:D26"/>
    <mergeCell ref="E5:E26"/>
    <mergeCell ref="F5:F26"/>
    <mergeCell ref="D45:D53"/>
    <mergeCell ref="E45:E53"/>
    <mergeCell ref="L39:L42"/>
    <mergeCell ref="J39:J44"/>
    <mergeCell ref="J32:J33"/>
    <mergeCell ref="D27:D44"/>
    <mergeCell ref="G27:G30"/>
    <mergeCell ref="I7:I8"/>
    <mergeCell ref="A60:G60"/>
    <mergeCell ref="D54:D59"/>
    <mergeCell ref="H27:H30"/>
    <mergeCell ref="I27:I30"/>
    <mergeCell ref="G20:G23"/>
    <mergeCell ref="H20:H23"/>
    <mergeCell ref="G24:G26"/>
    <mergeCell ref="E27:E44"/>
    <mergeCell ref="F27:F44"/>
    <mergeCell ref="E54:E59"/>
    <mergeCell ref="G37:G38"/>
    <mergeCell ref="F54:F59"/>
    <mergeCell ref="I34:I35"/>
    <mergeCell ref="H24:H26"/>
    <mergeCell ref="I24:I26"/>
    <mergeCell ref="H10:H13"/>
    <mergeCell ref="I10:I13"/>
    <mergeCell ref="G16:G18"/>
    <mergeCell ref="G39:G44"/>
    <mergeCell ref="H39:H44"/>
    <mergeCell ref="H37:H38"/>
    <mergeCell ref="G32:G33"/>
    <mergeCell ref="H32:H33"/>
    <mergeCell ref="G34:G35"/>
    <mergeCell ref="H34:H35"/>
    <mergeCell ref="G56:G59"/>
    <mergeCell ref="H56:H59"/>
    <mergeCell ref="I56:I59"/>
    <mergeCell ref="F45:F53"/>
    <mergeCell ref="G45:G51"/>
    <mergeCell ref="H45:H51"/>
  </mergeCells>
  <pageMargins left="0.31496062992125984" right="0" top="0.55118110236220474" bottom="0.15748031496062992" header="0.31496062992125984" footer="0.31496062992125984"/>
  <pageSetup paperSize="9" scale="6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U50"/>
  <sheetViews>
    <sheetView zoomScaleNormal="100" workbookViewId="0">
      <selection activeCell="A4" sqref="A4:XFD4"/>
    </sheetView>
  </sheetViews>
  <sheetFormatPr baseColWidth="10" defaultRowHeight="11.25" x14ac:dyDescent="0.2"/>
  <cols>
    <col min="1" max="1" width="14.85546875" style="5" customWidth="1"/>
    <col min="2" max="2" width="11.42578125" style="5"/>
    <col min="3" max="3" width="15.85546875" style="5" customWidth="1"/>
    <col min="4" max="4" width="22.28515625" style="5" customWidth="1"/>
    <col min="5" max="6" width="9" style="5" hidden="1" customWidth="1"/>
    <col min="7" max="7" width="8.140625" style="5" customWidth="1"/>
    <col min="8" max="8" width="12" style="23" customWidth="1"/>
    <col min="9" max="9" width="10.85546875" style="23" customWidth="1"/>
    <col min="10" max="10" width="10.140625" style="5" customWidth="1"/>
    <col min="11" max="11" width="16.7109375" style="5" customWidth="1"/>
    <col min="12" max="12" width="14.85546875" style="5" customWidth="1"/>
    <col min="13" max="13" width="9.28515625" style="5" customWidth="1"/>
    <col min="14" max="14" width="10.5703125" style="5" customWidth="1"/>
    <col min="15" max="15" width="9.42578125" style="23" customWidth="1"/>
    <col min="16" max="16" width="9.7109375" style="5" customWidth="1"/>
    <col min="17" max="17" width="9.85546875" style="23" customWidth="1"/>
    <col min="18" max="18" width="10" style="23" customWidth="1"/>
    <col min="19" max="19" width="9.5703125" style="5" customWidth="1"/>
    <col min="20" max="16384" width="11.42578125" style="5"/>
  </cols>
  <sheetData>
    <row r="1" spans="1:19" s="35" customFormat="1" ht="12.75" x14ac:dyDescent="0.2">
      <c r="A1" s="34" t="s">
        <v>146</v>
      </c>
      <c r="B1" s="34" t="s">
        <v>13</v>
      </c>
      <c r="H1" s="39"/>
      <c r="I1" s="39"/>
      <c r="O1" s="39"/>
      <c r="Q1" s="39"/>
      <c r="R1" s="39"/>
    </row>
    <row r="2" spans="1:19" s="36" customFormat="1" ht="12.75" x14ac:dyDescent="0.2">
      <c r="A2" s="34" t="s">
        <v>147</v>
      </c>
      <c r="B2" s="34" t="s">
        <v>14</v>
      </c>
      <c r="C2" s="34"/>
      <c r="D2" s="34"/>
      <c r="H2" s="40"/>
      <c r="I2" s="40"/>
      <c r="O2" s="40"/>
      <c r="Q2" s="40"/>
      <c r="R2" s="40"/>
    </row>
    <row r="3" spans="1:19" ht="6" customHeight="1" x14ac:dyDescent="0.2"/>
    <row r="4" spans="1:19" ht="32.25" customHeight="1" x14ac:dyDescent="0.2">
      <c r="A4" s="2" t="s">
        <v>0</v>
      </c>
      <c r="B4" s="2" t="s">
        <v>1</v>
      </c>
      <c r="C4" s="3" t="s">
        <v>2</v>
      </c>
      <c r="D4" s="3" t="s">
        <v>3</v>
      </c>
      <c r="E4" s="3" t="s">
        <v>4</v>
      </c>
      <c r="F4" s="3" t="s">
        <v>5</v>
      </c>
      <c r="G4" s="4" t="s">
        <v>6</v>
      </c>
      <c r="H4" s="24" t="s">
        <v>169</v>
      </c>
      <c r="I4" s="16" t="s">
        <v>154</v>
      </c>
      <c r="J4" s="16" t="s">
        <v>155</v>
      </c>
      <c r="K4" s="16" t="s">
        <v>156</v>
      </c>
      <c r="L4" s="16" t="s">
        <v>157</v>
      </c>
      <c r="M4" s="16" t="s">
        <v>158</v>
      </c>
      <c r="N4" s="16" t="s">
        <v>159</v>
      </c>
      <c r="O4" s="16" t="s">
        <v>160</v>
      </c>
      <c r="P4" s="31" t="s">
        <v>170</v>
      </c>
      <c r="Q4" s="16" t="s">
        <v>162</v>
      </c>
      <c r="R4" s="16" t="s">
        <v>163</v>
      </c>
      <c r="S4" s="16" t="s">
        <v>164</v>
      </c>
    </row>
    <row r="5" spans="1:19" ht="22.5" customHeight="1" x14ac:dyDescent="0.2">
      <c r="A5" s="234" t="s">
        <v>122</v>
      </c>
      <c r="B5" s="212" t="s">
        <v>15</v>
      </c>
      <c r="C5" s="211" t="s">
        <v>16</v>
      </c>
      <c r="D5" s="10" t="s">
        <v>142</v>
      </c>
      <c r="E5" s="11">
        <v>44246</v>
      </c>
      <c r="F5" s="11">
        <v>44276</v>
      </c>
      <c r="G5" s="8"/>
      <c r="H5" s="32"/>
      <c r="I5" s="44"/>
      <c r="J5" s="18"/>
      <c r="K5" s="18"/>
      <c r="L5" s="18"/>
      <c r="M5" s="18"/>
      <c r="N5" s="18"/>
      <c r="O5" s="44"/>
      <c r="P5" s="18"/>
      <c r="Q5" s="18"/>
      <c r="R5" s="18"/>
      <c r="S5" s="18"/>
    </row>
    <row r="6" spans="1:19" ht="22.5" x14ac:dyDescent="0.2">
      <c r="A6" s="234"/>
      <c r="B6" s="212"/>
      <c r="C6" s="211"/>
      <c r="D6" s="10" t="s">
        <v>143</v>
      </c>
      <c r="E6" s="11">
        <v>44336</v>
      </c>
      <c r="F6" s="11">
        <v>44381</v>
      </c>
      <c r="G6" s="9">
        <v>750104</v>
      </c>
      <c r="H6" s="25">
        <v>73360</v>
      </c>
      <c r="I6" s="44"/>
      <c r="J6" s="33">
        <f>H6+I6</f>
        <v>73360</v>
      </c>
      <c r="K6" s="33" t="s">
        <v>516</v>
      </c>
      <c r="L6" s="33" t="s">
        <v>517</v>
      </c>
      <c r="M6" s="124">
        <v>44490</v>
      </c>
      <c r="N6" s="125" t="s">
        <v>475</v>
      </c>
      <c r="O6" s="44">
        <f>65500-65500</f>
        <v>0</v>
      </c>
      <c r="P6" s="18">
        <v>5000002301</v>
      </c>
      <c r="Q6" s="44">
        <v>65500</v>
      </c>
      <c r="R6" s="18"/>
      <c r="S6" s="33">
        <f>J6-O6-Q6</f>
        <v>7860</v>
      </c>
    </row>
    <row r="7" spans="1:19" ht="22.5" x14ac:dyDescent="0.2">
      <c r="A7" s="234"/>
      <c r="B7" s="212"/>
      <c r="C7" s="211"/>
      <c r="D7" s="10" t="s">
        <v>144</v>
      </c>
      <c r="E7" s="11">
        <v>44411</v>
      </c>
      <c r="F7" s="11">
        <v>44501</v>
      </c>
      <c r="G7" s="8"/>
      <c r="H7" s="32"/>
      <c r="I7" s="44"/>
      <c r="J7" s="18"/>
      <c r="K7" s="18"/>
      <c r="L7" s="18"/>
      <c r="M7" s="18"/>
      <c r="N7" s="18"/>
      <c r="O7" s="44"/>
      <c r="P7" s="18"/>
      <c r="Q7" s="18"/>
      <c r="R7" s="18"/>
      <c r="S7" s="18"/>
    </row>
    <row r="8" spans="1:19" ht="33.75" x14ac:dyDescent="0.2">
      <c r="A8" s="234"/>
      <c r="B8" s="212"/>
      <c r="C8" s="211"/>
      <c r="D8" s="10" t="s">
        <v>145</v>
      </c>
      <c r="E8" s="11">
        <v>44531</v>
      </c>
      <c r="F8" s="11">
        <v>44531</v>
      </c>
      <c r="G8" s="8"/>
      <c r="H8" s="32"/>
      <c r="I8" s="44"/>
      <c r="J8" s="18"/>
      <c r="K8" s="18"/>
      <c r="L8" s="18"/>
      <c r="M8" s="18"/>
      <c r="N8" s="18"/>
      <c r="O8" s="44"/>
      <c r="P8" s="18"/>
      <c r="Q8" s="18"/>
      <c r="R8" s="18"/>
      <c r="S8" s="18"/>
    </row>
    <row r="9" spans="1:19" ht="22.5" x14ac:dyDescent="0.2">
      <c r="A9" s="234"/>
      <c r="B9" s="212"/>
      <c r="C9" s="211" t="s">
        <v>17</v>
      </c>
      <c r="D9" s="10" t="s">
        <v>142</v>
      </c>
      <c r="E9" s="11">
        <v>44246</v>
      </c>
      <c r="F9" s="11">
        <v>44276</v>
      </c>
      <c r="G9" s="8"/>
      <c r="H9" s="32"/>
      <c r="I9" s="44"/>
      <c r="J9" s="18"/>
      <c r="K9" s="18"/>
      <c r="L9" s="18"/>
      <c r="M9" s="18"/>
      <c r="N9" s="18"/>
      <c r="O9" s="44"/>
      <c r="P9" s="18"/>
      <c r="Q9" s="18"/>
      <c r="R9" s="18"/>
      <c r="S9" s="18"/>
    </row>
    <row r="10" spans="1:19" ht="22.5" x14ac:dyDescent="0.2">
      <c r="A10" s="234"/>
      <c r="B10" s="212"/>
      <c r="C10" s="211"/>
      <c r="D10" s="10" t="s">
        <v>143</v>
      </c>
      <c r="E10" s="11">
        <v>44336</v>
      </c>
      <c r="F10" s="11">
        <v>44381</v>
      </c>
      <c r="G10" s="9">
        <v>750104</v>
      </c>
      <c r="H10" s="25">
        <v>42560</v>
      </c>
      <c r="I10" s="44"/>
      <c r="J10" s="33">
        <f>H10+I10</f>
        <v>42560</v>
      </c>
      <c r="K10" s="33" t="s">
        <v>516</v>
      </c>
      <c r="L10" s="33" t="s">
        <v>517</v>
      </c>
      <c r="M10" s="124">
        <v>44490</v>
      </c>
      <c r="N10" s="125" t="s">
        <v>476</v>
      </c>
      <c r="O10" s="44">
        <f>38000-38000</f>
        <v>0</v>
      </c>
      <c r="P10" s="18">
        <v>5000002302</v>
      </c>
      <c r="Q10" s="44">
        <v>38000</v>
      </c>
      <c r="R10" s="18"/>
      <c r="S10" s="33">
        <f>J10-O10-Q10</f>
        <v>4560</v>
      </c>
    </row>
    <row r="11" spans="1:19" ht="22.5" x14ac:dyDescent="0.2">
      <c r="A11" s="234"/>
      <c r="B11" s="212"/>
      <c r="C11" s="211"/>
      <c r="D11" s="10" t="s">
        <v>144</v>
      </c>
      <c r="E11" s="11">
        <v>44411</v>
      </c>
      <c r="F11" s="11">
        <v>44501</v>
      </c>
      <c r="G11" s="8"/>
      <c r="H11" s="32"/>
      <c r="I11" s="44"/>
      <c r="J11" s="18"/>
      <c r="K11" s="18"/>
      <c r="L11" s="18"/>
      <c r="M11" s="18"/>
      <c r="N11" s="18"/>
      <c r="O11" s="44"/>
      <c r="P11" s="18"/>
      <c r="Q11" s="18"/>
      <c r="R11" s="18"/>
      <c r="S11" s="18"/>
    </row>
    <row r="12" spans="1:19" ht="33.75" x14ac:dyDescent="0.2">
      <c r="A12" s="234"/>
      <c r="B12" s="212"/>
      <c r="C12" s="211"/>
      <c r="D12" s="10" t="s">
        <v>145</v>
      </c>
      <c r="E12" s="11">
        <v>44531</v>
      </c>
      <c r="F12" s="11">
        <v>44531</v>
      </c>
      <c r="G12" s="8"/>
      <c r="H12" s="32"/>
      <c r="I12" s="44"/>
      <c r="J12" s="18"/>
      <c r="K12" s="18"/>
      <c r="L12" s="18"/>
      <c r="M12" s="18"/>
      <c r="N12" s="18"/>
      <c r="O12" s="44"/>
      <c r="P12" s="18"/>
      <c r="Q12" s="18"/>
      <c r="R12" s="18"/>
      <c r="S12" s="18"/>
    </row>
    <row r="13" spans="1:19" ht="22.5" x14ac:dyDescent="0.2">
      <c r="A13" s="234"/>
      <c r="B13" s="212"/>
      <c r="C13" s="211" t="s">
        <v>18</v>
      </c>
      <c r="D13" s="10" t="s">
        <v>142</v>
      </c>
      <c r="E13" s="11">
        <v>44246</v>
      </c>
      <c r="F13" s="11">
        <v>44276</v>
      </c>
      <c r="G13" s="8"/>
      <c r="H13" s="32"/>
      <c r="I13" s="44"/>
      <c r="J13" s="18"/>
      <c r="K13" s="18"/>
      <c r="L13" s="18"/>
      <c r="M13" s="18"/>
      <c r="N13" s="18"/>
      <c r="O13" s="44"/>
      <c r="P13" s="18"/>
      <c r="Q13" s="18"/>
      <c r="R13" s="18"/>
      <c r="S13" s="18"/>
    </row>
    <row r="14" spans="1:19" ht="22.5" x14ac:dyDescent="0.2">
      <c r="A14" s="234"/>
      <c r="B14" s="212"/>
      <c r="C14" s="211"/>
      <c r="D14" s="10" t="s">
        <v>143</v>
      </c>
      <c r="E14" s="11">
        <v>44336</v>
      </c>
      <c r="F14" s="11">
        <v>44381</v>
      </c>
      <c r="G14" s="9">
        <v>750104</v>
      </c>
      <c r="H14" s="25">
        <v>33760</v>
      </c>
      <c r="I14" s="44"/>
      <c r="J14" s="33">
        <f>H14+I14</f>
        <v>33760</v>
      </c>
      <c r="K14" s="33" t="s">
        <v>516</v>
      </c>
      <c r="L14" s="33" t="s">
        <v>517</v>
      </c>
      <c r="M14" s="124">
        <v>44490</v>
      </c>
      <c r="N14" s="125" t="s">
        <v>474</v>
      </c>
      <c r="O14" s="44">
        <f>30142.86-30142.86</f>
        <v>0</v>
      </c>
      <c r="P14" s="18">
        <v>5000002300</v>
      </c>
      <c r="Q14" s="44">
        <v>30142.86</v>
      </c>
      <c r="R14" s="18"/>
      <c r="S14" s="33">
        <f>J14-O14-Q14</f>
        <v>3617.1399999999994</v>
      </c>
    </row>
    <row r="15" spans="1:19" ht="22.5" x14ac:dyDescent="0.2">
      <c r="A15" s="234"/>
      <c r="B15" s="212"/>
      <c r="C15" s="211"/>
      <c r="D15" s="10" t="s">
        <v>144</v>
      </c>
      <c r="E15" s="11">
        <v>44411</v>
      </c>
      <c r="F15" s="11">
        <v>44501</v>
      </c>
      <c r="G15" s="8"/>
      <c r="H15" s="32"/>
      <c r="I15" s="44"/>
      <c r="J15" s="18"/>
      <c r="K15" s="18"/>
      <c r="L15" s="18"/>
      <c r="M15" s="18"/>
      <c r="N15" s="18"/>
      <c r="O15" s="44"/>
      <c r="P15" s="18"/>
      <c r="Q15" s="18"/>
      <c r="R15" s="18"/>
      <c r="S15" s="18"/>
    </row>
    <row r="16" spans="1:19" ht="33.75" x14ac:dyDescent="0.2">
      <c r="A16" s="234"/>
      <c r="B16" s="212"/>
      <c r="C16" s="211"/>
      <c r="D16" s="10" t="s">
        <v>145</v>
      </c>
      <c r="E16" s="11">
        <v>44531</v>
      </c>
      <c r="F16" s="11">
        <v>44531</v>
      </c>
      <c r="G16" s="8"/>
      <c r="H16" s="32"/>
      <c r="I16" s="44"/>
      <c r="J16" s="18"/>
      <c r="K16" s="18"/>
      <c r="L16" s="18"/>
      <c r="M16" s="18"/>
      <c r="N16" s="18"/>
      <c r="O16" s="44"/>
      <c r="P16" s="18"/>
      <c r="Q16" s="18"/>
      <c r="R16" s="18"/>
      <c r="S16" s="18"/>
    </row>
    <row r="17" spans="1:21" ht="22.5" x14ac:dyDescent="0.2">
      <c r="A17" s="234"/>
      <c r="B17" s="212"/>
      <c r="C17" s="235" t="s">
        <v>19</v>
      </c>
      <c r="D17" s="10" t="s">
        <v>142</v>
      </c>
      <c r="E17" s="11">
        <v>44246</v>
      </c>
      <c r="F17" s="11">
        <v>44276</v>
      </c>
      <c r="G17" s="8"/>
      <c r="H17" s="32"/>
      <c r="I17" s="44"/>
      <c r="J17" s="18"/>
      <c r="K17" s="18"/>
      <c r="L17" s="18"/>
      <c r="M17" s="18"/>
      <c r="N17" s="18"/>
      <c r="O17" s="44"/>
      <c r="P17" s="18"/>
      <c r="Q17" s="18"/>
      <c r="R17" s="18"/>
      <c r="S17" s="18"/>
    </row>
    <row r="18" spans="1:21" ht="22.5" x14ac:dyDescent="0.2">
      <c r="A18" s="234"/>
      <c r="B18" s="212"/>
      <c r="C18" s="235"/>
      <c r="D18" s="10" t="s">
        <v>143</v>
      </c>
      <c r="E18" s="11">
        <v>44336</v>
      </c>
      <c r="F18" s="11">
        <v>44381</v>
      </c>
      <c r="G18" s="9">
        <v>750104</v>
      </c>
      <c r="H18" s="25">
        <v>40320</v>
      </c>
      <c r="I18" s="44"/>
      <c r="J18" s="130">
        <f>H18+I18</f>
        <v>40320</v>
      </c>
      <c r="K18" s="33" t="s">
        <v>516</v>
      </c>
      <c r="L18" s="33" t="s">
        <v>517</v>
      </c>
      <c r="M18" s="124">
        <v>44470</v>
      </c>
      <c r="N18" s="125" t="s">
        <v>466</v>
      </c>
      <c r="O18" s="44">
        <f>36000-36000</f>
        <v>0</v>
      </c>
      <c r="P18" s="18">
        <v>5000002303</v>
      </c>
      <c r="Q18" s="44">
        <v>36000</v>
      </c>
      <c r="R18" s="18"/>
      <c r="S18" s="33">
        <f>J18-O18-Q18</f>
        <v>4320</v>
      </c>
    </row>
    <row r="19" spans="1:21" ht="22.5" x14ac:dyDescent="0.2">
      <c r="A19" s="234"/>
      <c r="B19" s="212"/>
      <c r="C19" s="235"/>
      <c r="D19" s="10" t="s">
        <v>144</v>
      </c>
      <c r="E19" s="11">
        <v>44411</v>
      </c>
      <c r="F19" s="11">
        <v>44501</v>
      </c>
      <c r="G19" s="8"/>
      <c r="H19" s="32"/>
      <c r="I19" s="44"/>
      <c r="J19" s="18"/>
      <c r="K19" s="18"/>
      <c r="L19" s="18"/>
      <c r="M19" s="18"/>
      <c r="N19" s="18"/>
      <c r="O19" s="44"/>
      <c r="P19" s="18"/>
      <c r="Q19" s="18"/>
      <c r="R19" s="18"/>
      <c r="S19" s="18"/>
    </row>
    <row r="20" spans="1:21" ht="33.75" x14ac:dyDescent="0.2">
      <c r="A20" s="234"/>
      <c r="B20" s="212"/>
      <c r="C20" s="235"/>
      <c r="D20" s="10" t="s">
        <v>145</v>
      </c>
      <c r="E20" s="11">
        <v>44531</v>
      </c>
      <c r="F20" s="11">
        <v>44531</v>
      </c>
      <c r="G20" s="8"/>
      <c r="H20" s="32"/>
      <c r="I20" s="44"/>
      <c r="J20" s="18"/>
      <c r="K20" s="18"/>
      <c r="L20" s="18"/>
      <c r="M20" s="18"/>
      <c r="N20" s="18"/>
      <c r="O20" s="44"/>
      <c r="P20" s="18"/>
      <c r="Q20" s="18"/>
      <c r="R20" s="18"/>
      <c r="S20" s="18"/>
    </row>
    <row r="21" spans="1:21" ht="22.5" customHeight="1" x14ac:dyDescent="0.2">
      <c r="A21" s="234" t="s">
        <v>123</v>
      </c>
      <c r="B21" s="212" t="s">
        <v>20</v>
      </c>
      <c r="C21" s="211" t="s">
        <v>21</v>
      </c>
      <c r="D21" s="10" t="s">
        <v>142</v>
      </c>
      <c r="E21" s="11">
        <v>44274</v>
      </c>
      <c r="F21" s="11">
        <v>44304</v>
      </c>
      <c r="G21" s="8"/>
      <c r="H21" s="32"/>
      <c r="I21" s="44"/>
      <c r="J21" s="18"/>
      <c r="K21" s="18"/>
      <c r="L21" s="18"/>
      <c r="M21" s="18"/>
      <c r="N21" s="18"/>
      <c r="O21" s="44"/>
      <c r="P21" s="18"/>
      <c r="Q21" s="18"/>
      <c r="R21" s="18"/>
      <c r="S21" s="18"/>
    </row>
    <row r="22" spans="1:21" ht="22.5" x14ac:dyDescent="0.2">
      <c r="A22" s="234"/>
      <c r="B22" s="212"/>
      <c r="C22" s="211"/>
      <c r="D22" s="10" t="s">
        <v>143</v>
      </c>
      <c r="E22" s="11">
        <v>44364</v>
      </c>
      <c r="F22" s="11">
        <v>44409</v>
      </c>
      <c r="G22" s="9">
        <v>750105</v>
      </c>
      <c r="H22" s="25">
        <v>116400</v>
      </c>
      <c r="I22" s="44"/>
      <c r="J22" s="130">
        <f>H22+I22</f>
        <v>116400</v>
      </c>
      <c r="K22" s="109" t="s">
        <v>481</v>
      </c>
      <c r="L22" s="18" t="s">
        <v>422</v>
      </c>
      <c r="M22" s="124">
        <v>44393</v>
      </c>
      <c r="N22" s="125" t="s">
        <v>400</v>
      </c>
      <c r="O22" s="44">
        <f>116400-12471.43-103928.57</f>
        <v>0</v>
      </c>
      <c r="P22" s="18">
        <v>5000002240</v>
      </c>
      <c r="Q22" s="44">
        <v>103928.57</v>
      </c>
      <c r="R22" s="44">
        <f>77064.76+4308+19465.36</f>
        <v>100838.12</v>
      </c>
      <c r="S22" s="33">
        <f>J22-O22-Q22</f>
        <v>12471.429999999993</v>
      </c>
      <c r="T22" s="118"/>
      <c r="U22" s="118"/>
    </row>
    <row r="23" spans="1:21" ht="22.5" x14ac:dyDescent="0.2">
      <c r="A23" s="234"/>
      <c r="B23" s="212"/>
      <c r="C23" s="211"/>
      <c r="D23" s="10" t="s">
        <v>144</v>
      </c>
      <c r="E23" s="11">
        <v>44439</v>
      </c>
      <c r="F23" s="11">
        <v>44499</v>
      </c>
      <c r="G23" s="8"/>
      <c r="H23" s="32"/>
      <c r="I23" s="44"/>
      <c r="J23" s="18"/>
      <c r="K23" s="18"/>
      <c r="L23" s="18"/>
      <c r="M23" s="18"/>
      <c r="N23" s="18"/>
      <c r="O23" s="44"/>
      <c r="P23" s="18"/>
      <c r="Q23" s="18"/>
      <c r="R23" s="18"/>
      <c r="S23" s="18"/>
    </row>
    <row r="24" spans="1:21" ht="33.75" x14ac:dyDescent="0.2">
      <c r="A24" s="234"/>
      <c r="B24" s="212"/>
      <c r="C24" s="211"/>
      <c r="D24" s="10" t="s">
        <v>145</v>
      </c>
      <c r="E24" s="11">
        <v>44529</v>
      </c>
      <c r="F24" s="11">
        <v>44529</v>
      </c>
      <c r="G24" s="8"/>
      <c r="H24" s="32"/>
      <c r="I24" s="44"/>
      <c r="J24" s="18"/>
      <c r="K24" s="18"/>
      <c r="L24" s="18"/>
      <c r="M24" s="18"/>
      <c r="N24" s="18"/>
      <c r="O24" s="44"/>
      <c r="P24" s="18"/>
      <c r="Q24" s="18"/>
      <c r="R24" s="18"/>
      <c r="S24" s="18"/>
    </row>
    <row r="25" spans="1:21" ht="22.5" x14ac:dyDescent="0.2">
      <c r="A25" s="234"/>
      <c r="B25" s="212"/>
      <c r="C25" s="211" t="s">
        <v>22</v>
      </c>
      <c r="D25" s="10" t="s">
        <v>142</v>
      </c>
      <c r="E25" s="11">
        <v>44274</v>
      </c>
      <c r="F25" s="11">
        <v>44304</v>
      </c>
      <c r="G25" s="8"/>
      <c r="H25" s="32"/>
      <c r="I25" s="44"/>
      <c r="J25" s="18"/>
      <c r="K25" s="18"/>
      <c r="L25" s="18"/>
      <c r="M25" s="18"/>
      <c r="N25" s="18"/>
      <c r="O25" s="44"/>
      <c r="P25" s="18"/>
      <c r="Q25" s="18"/>
      <c r="R25" s="18"/>
      <c r="S25" s="18"/>
    </row>
    <row r="26" spans="1:21" ht="22.5" x14ac:dyDescent="0.2">
      <c r="A26" s="234"/>
      <c r="B26" s="212"/>
      <c r="C26" s="211"/>
      <c r="D26" s="10" t="s">
        <v>143</v>
      </c>
      <c r="E26" s="11">
        <v>44364</v>
      </c>
      <c r="F26" s="11">
        <v>44409</v>
      </c>
      <c r="G26" s="9">
        <v>750105</v>
      </c>
      <c r="H26" s="25">
        <v>33600</v>
      </c>
      <c r="I26" s="44"/>
      <c r="J26" s="130">
        <f>H26+I26</f>
        <v>33600</v>
      </c>
      <c r="K26" s="109" t="s">
        <v>481</v>
      </c>
      <c r="L26" s="18" t="s">
        <v>422</v>
      </c>
      <c r="M26" s="124">
        <v>44393</v>
      </c>
      <c r="N26" s="125" t="s">
        <v>400</v>
      </c>
      <c r="O26" s="44">
        <f>33600-3600-30000</f>
        <v>0</v>
      </c>
      <c r="P26" s="18">
        <v>5000002240</v>
      </c>
      <c r="Q26" s="44">
        <v>30000</v>
      </c>
      <c r="R26" s="44">
        <v>33084.300000000003</v>
      </c>
      <c r="S26" s="33">
        <f>J26-O26-Q26</f>
        <v>3600</v>
      </c>
      <c r="T26" s="118"/>
      <c r="U26" s="118"/>
    </row>
    <row r="27" spans="1:21" ht="22.5" x14ac:dyDescent="0.2">
      <c r="A27" s="234"/>
      <c r="B27" s="212"/>
      <c r="C27" s="211"/>
      <c r="D27" s="10" t="s">
        <v>144</v>
      </c>
      <c r="E27" s="11">
        <v>44439</v>
      </c>
      <c r="F27" s="11">
        <v>44499</v>
      </c>
      <c r="G27" s="8"/>
      <c r="H27" s="32"/>
      <c r="I27" s="44"/>
      <c r="J27" s="18"/>
      <c r="K27" s="18"/>
      <c r="L27" s="18"/>
      <c r="M27" s="18"/>
      <c r="N27" s="18"/>
      <c r="O27" s="44"/>
      <c r="P27" s="18"/>
      <c r="Q27" s="18"/>
      <c r="R27" s="18"/>
      <c r="S27" s="18"/>
    </row>
    <row r="28" spans="1:21" ht="33.75" x14ac:dyDescent="0.2">
      <c r="A28" s="234"/>
      <c r="B28" s="212"/>
      <c r="C28" s="211"/>
      <c r="D28" s="10" t="s">
        <v>145</v>
      </c>
      <c r="E28" s="11">
        <v>44529</v>
      </c>
      <c r="F28" s="11">
        <v>44529</v>
      </c>
      <c r="G28" s="8"/>
      <c r="H28" s="32"/>
      <c r="I28" s="44"/>
      <c r="J28" s="18"/>
      <c r="K28" s="18"/>
      <c r="L28" s="18"/>
      <c r="M28" s="18"/>
      <c r="N28" s="18"/>
      <c r="O28" s="44"/>
      <c r="P28" s="18"/>
      <c r="Q28" s="18"/>
      <c r="R28" s="18"/>
      <c r="S28" s="18"/>
    </row>
    <row r="29" spans="1:21" ht="31.5" customHeight="1" x14ac:dyDescent="0.2">
      <c r="A29" s="234"/>
      <c r="B29" s="212"/>
      <c r="C29" s="236" t="s">
        <v>428</v>
      </c>
      <c r="D29" s="182" t="s">
        <v>142</v>
      </c>
      <c r="E29" s="132"/>
      <c r="F29" s="132"/>
      <c r="G29" s="8"/>
      <c r="H29" s="32"/>
      <c r="I29" s="44"/>
      <c r="J29" s="18"/>
      <c r="K29" s="18"/>
      <c r="L29" s="18"/>
      <c r="M29" s="18"/>
      <c r="N29" s="18"/>
      <c r="O29" s="44"/>
      <c r="P29" s="18"/>
      <c r="Q29" s="18"/>
      <c r="R29" s="18"/>
      <c r="S29" s="18"/>
    </row>
    <row r="30" spans="1:21" ht="22.5" x14ac:dyDescent="0.2">
      <c r="A30" s="234"/>
      <c r="B30" s="212"/>
      <c r="C30" s="237"/>
      <c r="D30" s="182" t="s">
        <v>143</v>
      </c>
      <c r="E30" s="132"/>
      <c r="F30" s="132"/>
      <c r="G30" s="8">
        <v>750105</v>
      </c>
      <c r="H30" s="32">
        <v>0</v>
      </c>
      <c r="I30" s="183">
        <v>218400</v>
      </c>
      <c r="J30" s="128">
        <f>H30+I30</f>
        <v>218400</v>
      </c>
      <c r="K30" s="18"/>
      <c r="L30" s="18" t="s">
        <v>478</v>
      </c>
      <c r="M30" s="124">
        <v>44496</v>
      </c>
      <c r="N30" s="125" t="s">
        <v>479</v>
      </c>
      <c r="O30" s="44">
        <v>195000</v>
      </c>
      <c r="P30" s="18"/>
      <c r="Q30" s="18"/>
      <c r="R30" s="18"/>
      <c r="S30" s="33">
        <f>J30-O30-Q30</f>
        <v>23400</v>
      </c>
    </row>
    <row r="31" spans="1:21" ht="22.5" x14ac:dyDescent="0.2">
      <c r="A31" s="234"/>
      <c r="B31" s="212"/>
      <c r="C31" s="237"/>
      <c r="D31" s="182" t="s">
        <v>144</v>
      </c>
      <c r="E31" s="132"/>
      <c r="F31" s="132"/>
      <c r="G31" s="8"/>
      <c r="H31" s="32"/>
      <c r="I31" s="128"/>
      <c r="J31" s="180"/>
      <c r="K31" s="18"/>
      <c r="L31" s="18"/>
      <c r="M31" s="18"/>
      <c r="N31" s="18"/>
      <c r="O31" s="44"/>
      <c r="P31" s="18"/>
      <c r="Q31" s="18"/>
      <c r="R31" s="18"/>
      <c r="S31" s="18"/>
    </row>
    <row r="32" spans="1:21" ht="33.75" x14ac:dyDescent="0.2">
      <c r="A32" s="234"/>
      <c r="B32" s="212"/>
      <c r="C32" s="238"/>
      <c r="D32" s="182" t="s">
        <v>145</v>
      </c>
      <c r="E32" s="132"/>
      <c r="F32" s="132"/>
      <c r="G32" s="8"/>
      <c r="H32" s="32"/>
      <c r="I32" s="128"/>
      <c r="J32" s="180"/>
      <c r="K32" s="18"/>
      <c r="L32" s="18"/>
      <c r="M32" s="18"/>
      <c r="N32" s="18"/>
      <c r="O32" s="44"/>
      <c r="P32" s="18"/>
      <c r="Q32" s="18"/>
      <c r="R32" s="18"/>
      <c r="S32" s="18"/>
    </row>
    <row r="33" spans="1:20" ht="34.5" customHeight="1" x14ac:dyDescent="0.2">
      <c r="A33" s="234"/>
      <c r="B33" s="212"/>
      <c r="C33" s="236" t="s">
        <v>429</v>
      </c>
      <c r="D33" s="182" t="s">
        <v>142</v>
      </c>
      <c r="E33" s="132"/>
      <c r="F33" s="132"/>
      <c r="G33" s="8"/>
      <c r="H33" s="32"/>
      <c r="I33" s="128"/>
      <c r="J33" s="180"/>
      <c r="K33" s="18"/>
      <c r="L33" s="18"/>
      <c r="M33" s="18"/>
      <c r="N33" s="18"/>
      <c r="O33" s="44"/>
      <c r="P33" s="18"/>
      <c r="Q33" s="18"/>
      <c r="R33" s="18"/>
      <c r="S33" s="18"/>
    </row>
    <row r="34" spans="1:20" ht="22.5" x14ac:dyDescent="0.2">
      <c r="A34" s="234"/>
      <c r="B34" s="212"/>
      <c r="C34" s="237"/>
      <c r="D34" s="182" t="s">
        <v>143</v>
      </c>
      <c r="E34" s="132"/>
      <c r="F34" s="132"/>
      <c r="G34" s="8">
        <v>750105</v>
      </c>
      <c r="H34" s="32"/>
      <c r="I34" s="183">
        <v>250880</v>
      </c>
      <c r="J34" s="128">
        <f>H34+I34</f>
        <v>250880</v>
      </c>
      <c r="K34" s="18"/>
      <c r="L34" s="18" t="s">
        <v>478</v>
      </c>
      <c r="M34" s="124">
        <v>44496</v>
      </c>
      <c r="N34" s="125" t="s">
        <v>480</v>
      </c>
      <c r="O34" s="44">
        <v>224000</v>
      </c>
      <c r="P34" s="18"/>
      <c r="Q34" s="18"/>
      <c r="R34" s="18"/>
      <c r="S34" s="33">
        <f>J34-O34-Q34</f>
        <v>26880</v>
      </c>
    </row>
    <row r="35" spans="1:20" ht="22.5" x14ac:dyDescent="0.2">
      <c r="A35" s="234"/>
      <c r="B35" s="212"/>
      <c r="C35" s="237"/>
      <c r="D35" s="182" t="s">
        <v>144</v>
      </c>
      <c r="E35" s="132"/>
      <c r="F35" s="132"/>
      <c r="G35" s="8"/>
      <c r="H35" s="32"/>
      <c r="I35" s="128"/>
      <c r="J35" s="180"/>
      <c r="K35" s="18"/>
      <c r="L35" s="18"/>
      <c r="M35" s="18"/>
      <c r="N35" s="18"/>
      <c r="O35" s="44"/>
      <c r="P35" s="18"/>
      <c r="Q35" s="18"/>
      <c r="R35" s="18"/>
      <c r="S35" s="18"/>
    </row>
    <row r="36" spans="1:20" ht="33.75" x14ac:dyDescent="0.2">
      <c r="A36" s="234"/>
      <c r="B36" s="212"/>
      <c r="C36" s="238"/>
      <c r="D36" s="182" t="s">
        <v>145</v>
      </c>
      <c r="E36" s="132"/>
      <c r="F36" s="132"/>
      <c r="G36" s="8"/>
      <c r="H36" s="32"/>
      <c r="I36" s="44"/>
      <c r="J36" s="18"/>
      <c r="K36" s="18"/>
      <c r="L36" s="18"/>
      <c r="M36" s="18"/>
      <c r="N36" s="18"/>
      <c r="O36" s="44"/>
      <c r="P36" s="18"/>
      <c r="Q36" s="18"/>
      <c r="R36" s="18"/>
      <c r="S36" s="18"/>
    </row>
    <row r="37" spans="1:20" ht="22.5" x14ac:dyDescent="0.2">
      <c r="A37" s="234"/>
      <c r="B37" s="212"/>
      <c r="C37" s="211" t="s">
        <v>23</v>
      </c>
      <c r="D37" s="10" t="s">
        <v>142</v>
      </c>
      <c r="E37" s="11">
        <v>44236</v>
      </c>
      <c r="F37" s="11">
        <v>44276</v>
      </c>
      <c r="G37" s="8"/>
      <c r="H37" s="32"/>
      <c r="I37" s="44"/>
      <c r="J37" s="18"/>
      <c r="K37" s="18"/>
      <c r="L37" s="18"/>
      <c r="M37" s="18"/>
      <c r="N37" s="18"/>
      <c r="O37" s="44"/>
      <c r="P37" s="18"/>
      <c r="Q37" s="18"/>
      <c r="R37" s="18"/>
      <c r="S37" s="18"/>
    </row>
    <row r="38" spans="1:20" ht="22.5" x14ac:dyDescent="0.2">
      <c r="A38" s="234"/>
      <c r="B38" s="212"/>
      <c r="C38" s="211"/>
      <c r="D38" s="10" t="s">
        <v>143</v>
      </c>
      <c r="E38" s="11">
        <v>44336</v>
      </c>
      <c r="F38" s="11">
        <v>44381</v>
      </c>
      <c r="G38" s="9">
        <v>750105</v>
      </c>
      <c r="H38" s="25">
        <v>24541.040000000001</v>
      </c>
      <c r="I38" s="44"/>
      <c r="J38" s="33">
        <f>H38+I38</f>
        <v>24541.040000000001</v>
      </c>
      <c r="K38" s="109" t="s">
        <v>458</v>
      </c>
      <c r="L38" s="18" t="s">
        <v>421</v>
      </c>
      <c r="M38" s="124">
        <v>44343</v>
      </c>
      <c r="N38" s="125" t="s">
        <v>378</v>
      </c>
      <c r="O38" s="44">
        <f>24541.04-21911.64-2629.4</f>
        <v>0</v>
      </c>
      <c r="P38" s="18">
        <v>4700019233</v>
      </c>
      <c r="Q38" s="44">
        <v>21911.64</v>
      </c>
      <c r="R38" s="44">
        <f>5600.62+16128.89</f>
        <v>21729.51</v>
      </c>
      <c r="S38" s="33">
        <f>J38-O38-Q38</f>
        <v>2629.4000000000015</v>
      </c>
      <c r="T38" s="144"/>
    </row>
    <row r="39" spans="1:20" ht="22.5" x14ac:dyDescent="0.2">
      <c r="A39" s="234"/>
      <c r="B39" s="212"/>
      <c r="C39" s="211"/>
      <c r="D39" s="10" t="s">
        <v>144</v>
      </c>
      <c r="E39" s="11">
        <v>44411</v>
      </c>
      <c r="F39" s="11">
        <v>44471</v>
      </c>
      <c r="G39" s="8"/>
      <c r="H39" s="32"/>
      <c r="I39" s="44"/>
      <c r="J39" s="18"/>
      <c r="K39" s="18"/>
      <c r="L39" s="18"/>
      <c r="M39" s="18"/>
      <c r="N39" s="18"/>
      <c r="O39" s="44"/>
      <c r="P39" s="18"/>
      <c r="Q39" s="18"/>
      <c r="R39" s="18"/>
      <c r="S39" s="18"/>
    </row>
    <row r="40" spans="1:20" ht="33.75" x14ac:dyDescent="0.2">
      <c r="A40" s="234"/>
      <c r="B40" s="212"/>
      <c r="C40" s="211"/>
      <c r="D40" s="10" t="s">
        <v>145</v>
      </c>
      <c r="E40" s="11">
        <v>44501</v>
      </c>
      <c r="F40" s="11">
        <v>44501</v>
      </c>
      <c r="G40" s="8"/>
      <c r="H40" s="32"/>
      <c r="I40" s="44"/>
      <c r="J40" s="18"/>
      <c r="K40" s="18"/>
      <c r="L40" s="18"/>
      <c r="M40" s="18"/>
      <c r="N40" s="18"/>
      <c r="O40" s="44"/>
      <c r="P40" s="18"/>
      <c r="Q40" s="18"/>
      <c r="R40" s="18"/>
      <c r="S40" s="18"/>
    </row>
    <row r="41" spans="1:20" ht="22.5" x14ac:dyDescent="0.2">
      <c r="A41" s="234" t="s">
        <v>124</v>
      </c>
      <c r="B41" s="212" t="s">
        <v>24</v>
      </c>
      <c r="C41" s="211" t="s">
        <v>25</v>
      </c>
      <c r="D41" s="10" t="s">
        <v>142</v>
      </c>
      <c r="E41" s="11">
        <v>44348</v>
      </c>
      <c r="F41" s="11">
        <v>44393</v>
      </c>
      <c r="G41" s="8"/>
      <c r="H41" s="32"/>
      <c r="I41" s="44"/>
      <c r="J41" s="18"/>
      <c r="K41" s="18"/>
      <c r="L41" s="18"/>
      <c r="M41" s="18"/>
      <c r="N41" s="18"/>
      <c r="O41" s="44"/>
      <c r="P41" s="18"/>
      <c r="Q41" s="18"/>
      <c r="R41" s="18"/>
      <c r="S41" s="18"/>
    </row>
    <row r="42" spans="1:20" x14ac:dyDescent="0.2">
      <c r="A42" s="234"/>
      <c r="B42" s="212"/>
      <c r="C42" s="211"/>
      <c r="D42" s="214" t="s">
        <v>143</v>
      </c>
      <c r="E42" s="202">
        <v>44438</v>
      </c>
      <c r="F42" s="202">
        <v>44468</v>
      </c>
      <c r="G42" s="9">
        <v>750105</v>
      </c>
      <c r="H42" s="25">
        <v>90458.96</v>
      </c>
      <c r="I42" s="184">
        <v>-90458.96</v>
      </c>
      <c r="J42" s="33">
        <f t="shared" ref="J42:J43" si="0">H42+I42</f>
        <v>0</v>
      </c>
      <c r="K42" s="18"/>
      <c r="L42" s="18"/>
      <c r="M42" s="18"/>
      <c r="N42" s="18"/>
      <c r="O42" s="44"/>
      <c r="P42" s="18"/>
      <c r="Q42" s="18"/>
      <c r="R42" s="18"/>
      <c r="S42" s="33">
        <f t="shared" ref="S42:S43" si="1">J42-O42-Q42</f>
        <v>0</v>
      </c>
    </row>
    <row r="43" spans="1:20" x14ac:dyDescent="0.2">
      <c r="A43" s="234"/>
      <c r="B43" s="212"/>
      <c r="C43" s="211"/>
      <c r="D43" s="214"/>
      <c r="E43" s="202"/>
      <c r="F43" s="202"/>
      <c r="G43" s="9">
        <v>750104</v>
      </c>
      <c r="H43" s="25">
        <v>386699.5</v>
      </c>
      <c r="I43" s="184">
        <v>-386699.5</v>
      </c>
      <c r="J43" s="33">
        <f t="shared" si="0"/>
        <v>0</v>
      </c>
      <c r="K43" s="18"/>
      <c r="L43" s="18"/>
      <c r="M43" s="18"/>
      <c r="N43" s="18"/>
      <c r="O43" s="44"/>
      <c r="P43" s="18"/>
      <c r="Q43" s="18"/>
      <c r="R43" s="18"/>
      <c r="S43" s="33">
        <f t="shared" si="1"/>
        <v>0</v>
      </c>
    </row>
    <row r="44" spans="1:20" ht="22.5" x14ac:dyDescent="0.2">
      <c r="A44" s="234"/>
      <c r="B44" s="212"/>
      <c r="C44" s="211"/>
      <c r="D44" s="10" t="s">
        <v>144</v>
      </c>
      <c r="E44" s="11">
        <v>44468</v>
      </c>
      <c r="F44" s="11">
        <v>44558</v>
      </c>
      <c r="G44" s="8"/>
      <c r="H44" s="32"/>
      <c r="I44" s="44"/>
      <c r="J44" s="18"/>
      <c r="K44" s="18"/>
      <c r="L44" s="18"/>
      <c r="M44" s="18"/>
      <c r="N44" s="18"/>
      <c r="O44" s="44"/>
      <c r="P44" s="18"/>
      <c r="Q44" s="18"/>
      <c r="R44" s="18"/>
      <c r="S44" s="18"/>
    </row>
    <row r="45" spans="1:20" ht="33.75" x14ac:dyDescent="0.2">
      <c r="A45" s="234"/>
      <c r="B45" s="212"/>
      <c r="C45" s="211"/>
      <c r="D45" s="10" t="s">
        <v>145</v>
      </c>
      <c r="E45" s="11">
        <v>44561</v>
      </c>
      <c r="F45" s="11">
        <v>44561</v>
      </c>
      <c r="G45" s="8"/>
      <c r="H45" s="32"/>
      <c r="I45" s="44"/>
      <c r="J45" s="18"/>
      <c r="K45" s="18"/>
      <c r="L45" s="18"/>
      <c r="M45" s="18"/>
      <c r="N45" s="18"/>
      <c r="O45" s="44"/>
      <c r="P45" s="18"/>
      <c r="Q45" s="18"/>
      <c r="R45" s="18"/>
      <c r="S45" s="18"/>
    </row>
    <row r="46" spans="1:20" x14ac:dyDescent="0.2">
      <c r="A46" s="220"/>
      <c r="B46" s="220"/>
      <c r="C46" s="220"/>
      <c r="D46" s="220"/>
      <c r="E46" s="220"/>
      <c r="F46" s="220"/>
      <c r="G46" s="221"/>
      <c r="H46" s="19">
        <f>SUM(H5:H45)</f>
        <v>841699.5</v>
      </c>
      <c r="I46" s="19">
        <f t="shared" ref="I46" si="2">SUM(I22:I45)</f>
        <v>-7878.460000000021</v>
      </c>
      <c r="J46" s="19">
        <f>SUM(J5:J45)</f>
        <v>833821.04</v>
      </c>
      <c r="K46" s="205"/>
      <c r="L46" s="206"/>
      <c r="M46" s="206"/>
      <c r="N46" s="207"/>
      <c r="O46" s="19">
        <f>SUM(O5:O45)</f>
        <v>419000</v>
      </c>
      <c r="P46" s="20"/>
      <c r="Q46" s="19">
        <f t="shared" ref="Q46:S46" si="3">SUM(Q5:Q45)</f>
        <v>325483.07</v>
      </c>
      <c r="R46" s="19">
        <f t="shared" si="3"/>
        <v>155651.93</v>
      </c>
      <c r="S46" s="149">
        <f t="shared" si="3"/>
        <v>89337.97</v>
      </c>
      <c r="T46" s="150"/>
    </row>
    <row r="47" spans="1:20" x14ac:dyDescent="0.2">
      <c r="A47" s="203"/>
      <c r="B47" s="203"/>
      <c r="C47" s="203"/>
      <c r="D47" s="203"/>
      <c r="E47" s="203"/>
      <c r="F47" s="203"/>
      <c r="G47" s="204"/>
      <c r="H47" s="26">
        <f>+H46</f>
        <v>841699.5</v>
      </c>
      <c r="I47" s="26">
        <f>+I46</f>
        <v>-7878.460000000021</v>
      </c>
      <c r="J47" s="21">
        <f>+J46</f>
        <v>833821.04</v>
      </c>
      <c r="K47" s="208"/>
      <c r="L47" s="209"/>
      <c r="M47" s="209"/>
      <c r="N47" s="210"/>
      <c r="O47" s="26">
        <f>+O46</f>
        <v>419000</v>
      </c>
      <c r="P47" s="22"/>
      <c r="Q47" s="21">
        <f t="shared" ref="Q47:S47" si="4">+Q46</f>
        <v>325483.07</v>
      </c>
      <c r="R47" s="21">
        <f t="shared" si="4"/>
        <v>155651.93</v>
      </c>
      <c r="S47" s="21">
        <f t="shared" si="4"/>
        <v>89337.97</v>
      </c>
    </row>
    <row r="50" spans="18:18" ht="15" x14ac:dyDescent="0.25">
      <c r="R50" s="168" t="s">
        <v>310</v>
      </c>
    </row>
  </sheetData>
  <mergeCells count="23">
    <mergeCell ref="A46:G46"/>
    <mergeCell ref="K46:N46"/>
    <mergeCell ref="A47:G47"/>
    <mergeCell ref="K47:N47"/>
    <mergeCell ref="D42:D43"/>
    <mergeCell ref="E42:E43"/>
    <mergeCell ref="F42:F43"/>
    <mergeCell ref="A41:A45"/>
    <mergeCell ref="B41:B45"/>
    <mergeCell ref="C41:C45"/>
    <mergeCell ref="C21:C24"/>
    <mergeCell ref="C25:C28"/>
    <mergeCell ref="C37:C40"/>
    <mergeCell ref="A5:A20"/>
    <mergeCell ref="B5:B20"/>
    <mergeCell ref="C5:C8"/>
    <mergeCell ref="C9:C12"/>
    <mergeCell ref="C13:C16"/>
    <mergeCell ref="C17:C20"/>
    <mergeCell ref="A21:A40"/>
    <mergeCell ref="B21:B40"/>
    <mergeCell ref="C29:C32"/>
    <mergeCell ref="C33:C36"/>
  </mergeCells>
  <pageMargins left="0.31496062992125984" right="0" top="0.55118110236220474" bottom="0.15748031496062992" header="0.31496062992125984" footer="0.31496062992125984"/>
  <pageSetup scale="6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U231"/>
  <sheetViews>
    <sheetView tabSelected="1" topLeftCell="G4" zoomScale="91" zoomScaleNormal="91" workbookViewId="0">
      <pane ySplit="795" topLeftCell="A200" activePane="bottomLeft"/>
      <selection activeCell="B4" sqref="B4"/>
      <selection pane="bottomLeft" activeCell="P206" sqref="P206"/>
    </sheetView>
  </sheetViews>
  <sheetFormatPr baseColWidth="10" defaultRowHeight="11.25" x14ac:dyDescent="0.2"/>
  <cols>
    <col min="1" max="2" width="11.42578125" style="5"/>
    <col min="3" max="3" width="24.7109375" style="5" customWidth="1"/>
    <col min="4" max="4" width="20.140625" style="5" customWidth="1"/>
    <col min="5" max="5" width="9.42578125" style="5" hidden="1" customWidth="1"/>
    <col min="6" max="6" width="10.140625" style="5" hidden="1" customWidth="1"/>
    <col min="7" max="7" width="8.7109375" style="5" customWidth="1"/>
    <col min="8" max="8" width="13.28515625" style="23" customWidth="1"/>
    <col min="9" max="9" width="11.85546875" style="23" customWidth="1"/>
    <col min="10" max="10" width="13" style="23" customWidth="1"/>
    <col min="11" max="11" width="20" style="5" customWidth="1"/>
    <col min="12" max="12" width="20.7109375" style="5" customWidth="1"/>
    <col min="13" max="13" width="10.42578125" style="5" customWidth="1"/>
    <col min="14" max="14" width="10.28515625" style="5" customWidth="1"/>
    <col min="15" max="15" width="11.7109375" style="23" customWidth="1"/>
    <col min="16" max="16" width="10.85546875" style="5" customWidth="1"/>
    <col min="17" max="18" width="13.7109375" style="23" customWidth="1"/>
    <col min="19" max="19" width="12" style="23" customWidth="1"/>
    <col min="20" max="20" width="8.85546875" style="5" customWidth="1"/>
    <col min="21" max="21" width="11" style="5" customWidth="1"/>
    <col min="22" max="16384" width="11.42578125" style="5"/>
  </cols>
  <sheetData>
    <row r="1" spans="1:21" s="36" customFormat="1" ht="12.75" x14ac:dyDescent="0.2">
      <c r="A1" s="34" t="s">
        <v>146</v>
      </c>
      <c r="B1" s="34" t="s">
        <v>13</v>
      </c>
      <c r="C1" s="35"/>
      <c r="D1" s="35"/>
      <c r="E1" s="35"/>
      <c r="F1" s="35"/>
      <c r="G1" s="35"/>
      <c r="H1" s="39"/>
      <c r="I1" s="40"/>
      <c r="J1" s="40"/>
      <c r="O1" s="40"/>
      <c r="Q1" s="40"/>
      <c r="R1" s="40"/>
      <c r="S1" s="40"/>
    </row>
    <row r="2" spans="1:21" s="36" customFormat="1" ht="12.75" x14ac:dyDescent="0.2">
      <c r="A2" s="34" t="s">
        <v>147</v>
      </c>
      <c r="B2" s="34" t="s">
        <v>26</v>
      </c>
      <c r="C2" s="34"/>
      <c r="D2" s="34"/>
      <c r="H2" s="40"/>
      <c r="I2" s="40"/>
      <c r="J2" s="40"/>
      <c r="O2" s="40"/>
      <c r="Q2" s="40"/>
      <c r="R2" s="40"/>
      <c r="S2" s="40"/>
    </row>
    <row r="3" spans="1:21" ht="5.25" customHeight="1" x14ac:dyDescent="0.2"/>
    <row r="4" spans="1:21" ht="30" customHeight="1" x14ac:dyDescent="0.2">
      <c r="A4" s="2" t="s">
        <v>0</v>
      </c>
      <c r="B4" s="2" t="s">
        <v>1</v>
      </c>
      <c r="C4" s="3" t="s">
        <v>2</v>
      </c>
      <c r="D4" s="3" t="s">
        <v>3</v>
      </c>
      <c r="E4" s="3" t="s">
        <v>4</v>
      </c>
      <c r="F4" s="3" t="s">
        <v>5</v>
      </c>
      <c r="G4" s="3" t="s">
        <v>6</v>
      </c>
      <c r="H4" s="41" t="s">
        <v>169</v>
      </c>
      <c r="I4" s="16" t="s">
        <v>154</v>
      </c>
      <c r="J4" s="16" t="s">
        <v>155</v>
      </c>
      <c r="K4" s="16" t="s">
        <v>156</v>
      </c>
      <c r="L4" s="16" t="s">
        <v>157</v>
      </c>
      <c r="M4" s="16" t="s">
        <v>158</v>
      </c>
      <c r="N4" s="16" t="s">
        <v>159</v>
      </c>
      <c r="O4" s="16" t="s">
        <v>160</v>
      </c>
      <c r="P4" s="31" t="s">
        <v>192</v>
      </c>
      <c r="Q4" s="16" t="s">
        <v>162</v>
      </c>
      <c r="R4" s="16" t="s">
        <v>163</v>
      </c>
      <c r="S4" s="16" t="s">
        <v>164</v>
      </c>
    </row>
    <row r="5" spans="1:21" ht="22.5" x14ac:dyDescent="0.2">
      <c r="A5" s="234" t="s">
        <v>125</v>
      </c>
      <c r="B5" s="212" t="s">
        <v>27</v>
      </c>
      <c r="C5" s="211" t="s">
        <v>28</v>
      </c>
      <c r="D5" s="10" t="s">
        <v>142</v>
      </c>
      <c r="E5" s="11">
        <v>44199</v>
      </c>
      <c r="F5" s="11">
        <v>44230</v>
      </c>
      <c r="G5" s="8"/>
      <c r="H5" s="32"/>
      <c r="I5" s="44"/>
      <c r="J5" s="44"/>
      <c r="K5" s="18"/>
      <c r="L5" s="18"/>
      <c r="M5" s="18"/>
      <c r="N5" s="18"/>
      <c r="O5" s="44"/>
      <c r="P5" s="18"/>
      <c r="Q5" s="44"/>
      <c r="R5" s="44"/>
      <c r="S5" s="44"/>
    </row>
    <row r="6" spans="1:21" ht="22.5" x14ac:dyDescent="0.2">
      <c r="A6" s="234"/>
      <c r="B6" s="212"/>
      <c r="C6" s="211"/>
      <c r="D6" s="10" t="s">
        <v>143</v>
      </c>
      <c r="E6" s="11">
        <v>44290</v>
      </c>
      <c r="F6" s="11">
        <v>44335</v>
      </c>
      <c r="G6" s="9">
        <v>750105</v>
      </c>
      <c r="H6" s="42">
        <v>31360</v>
      </c>
      <c r="I6" s="44"/>
      <c r="J6" s="128">
        <f>H6+I6</f>
        <v>31360</v>
      </c>
      <c r="K6" s="18" t="s">
        <v>508</v>
      </c>
      <c r="L6" s="18" t="s">
        <v>511</v>
      </c>
      <c r="M6" s="124">
        <v>44470</v>
      </c>
      <c r="N6" s="125" t="s">
        <v>461</v>
      </c>
      <c r="O6" s="44">
        <f>28000-28000</f>
        <v>0</v>
      </c>
      <c r="P6" s="18">
        <v>5000002281</v>
      </c>
      <c r="Q6" s="44">
        <v>28000</v>
      </c>
      <c r="R6" s="44"/>
      <c r="S6" s="44">
        <f>J6-O6-Q6</f>
        <v>3360</v>
      </c>
      <c r="T6" s="118"/>
    </row>
    <row r="7" spans="1:21" ht="33.75" x14ac:dyDescent="0.2">
      <c r="A7" s="234"/>
      <c r="B7" s="212"/>
      <c r="C7" s="211"/>
      <c r="D7" s="10" t="s">
        <v>144</v>
      </c>
      <c r="E7" s="11">
        <v>44365</v>
      </c>
      <c r="F7" s="11">
        <v>44425</v>
      </c>
      <c r="G7" s="8"/>
      <c r="H7" s="32"/>
      <c r="I7" s="44"/>
      <c r="J7" s="44"/>
      <c r="K7" s="18"/>
      <c r="L7" s="18"/>
      <c r="M7" s="18"/>
      <c r="N7" s="18"/>
      <c r="O7" s="44"/>
      <c r="P7" s="18"/>
      <c r="Q7" s="44"/>
      <c r="R7" s="44"/>
      <c r="S7" s="44"/>
    </row>
    <row r="8" spans="1:21" ht="33.75" x14ac:dyDescent="0.2">
      <c r="A8" s="234"/>
      <c r="B8" s="212"/>
      <c r="C8" s="211"/>
      <c r="D8" s="10" t="s">
        <v>145</v>
      </c>
      <c r="E8" s="11">
        <v>44455</v>
      </c>
      <c r="F8" s="11">
        <v>44455</v>
      </c>
      <c r="G8" s="8"/>
      <c r="H8" s="32"/>
      <c r="I8" s="44"/>
      <c r="J8" s="44"/>
      <c r="K8" s="18"/>
      <c r="L8" s="18"/>
      <c r="M8" s="18"/>
      <c r="N8" s="18"/>
      <c r="O8" s="44"/>
      <c r="P8" s="18"/>
      <c r="Q8" s="44"/>
      <c r="R8" s="44"/>
      <c r="S8" s="44"/>
    </row>
    <row r="9" spans="1:21" ht="22.5" x14ac:dyDescent="0.2">
      <c r="A9" s="234"/>
      <c r="B9" s="212"/>
      <c r="C9" s="211" t="s">
        <v>29</v>
      </c>
      <c r="D9" s="10" t="s">
        <v>142</v>
      </c>
      <c r="E9" s="11">
        <v>44200</v>
      </c>
      <c r="F9" s="11">
        <v>44230</v>
      </c>
      <c r="G9" s="8"/>
      <c r="H9" s="32"/>
      <c r="I9" s="44"/>
      <c r="J9" s="44"/>
      <c r="K9" s="18"/>
      <c r="L9" s="18"/>
      <c r="M9" s="18"/>
      <c r="N9" s="18"/>
      <c r="O9" s="44"/>
      <c r="P9" s="18"/>
      <c r="Q9" s="44"/>
      <c r="R9" s="44"/>
      <c r="S9" s="44"/>
    </row>
    <row r="10" spans="1:21" ht="22.5" x14ac:dyDescent="0.2">
      <c r="A10" s="234"/>
      <c r="B10" s="212"/>
      <c r="C10" s="211"/>
      <c r="D10" s="10" t="s">
        <v>143</v>
      </c>
      <c r="E10" s="11">
        <v>44290</v>
      </c>
      <c r="F10" s="11">
        <v>44335</v>
      </c>
      <c r="G10" s="9">
        <v>750105</v>
      </c>
      <c r="H10" s="42">
        <v>14000</v>
      </c>
      <c r="I10" s="42"/>
      <c r="J10" s="128">
        <f>H10+I10</f>
        <v>14000</v>
      </c>
      <c r="K10" s="18" t="s">
        <v>508</v>
      </c>
      <c r="L10" s="18" t="s">
        <v>511</v>
      </c>
      <c r="M10" s="124">
        <v>44470</v>
      </c>
      <c r="N10" s="125" t="s">
        <v>461</v>
      </c>
      <c r="O10" s="44">
        <f>12500-12500</f>
        <v>0</v>
      </c>
      <c r="P10" s="18">
        <v>5000002281</v>
      </c>
      <c r="Q10" s="44">
        <v>12500</v>
      </c>
      <c r="R10" s="44"/>
      <c r="S10" s="44">
        <f>J10-O10-Q10</f>
        <v>1500</v>
      </c>
      <c r="T10" s="118"/>
    </row>
    <row r="11" spans="1:21" ht="33.75" x14ac:dyDescent="0.2">
      <c r="A11" s="234"/>
      <c r="B11" s="212"/>
      <c r="C11" s="211"/>
      <c r="D11" s="10" t="s">
        <v>144</v>
      </c>
      <c r="E11" s="11">
        <v>44365</v>
      </c>
      <c r="F11" s="11">
        <v>44425</v>
      </c>
      <c r="G11" s="8"/>
      <c r="H11" s="32"/>
      <c r="I11" s="44"/>
      <c r="J11" s="44"/>
      <c r="K11" s="18"/>
      <c r="L11" s="18"/>
      <c r="M11" s="18"/>
      <c r="N11" s="18"/>
      <c r="O11" s="44"/>
      <c r="P11" s="18"/>
      <c r="Q11" s="44"/>
      <c r="R11" s="44"/>
      <c r="S11" s="44"/>
    </row>
    <row r="12" spans="1:21" ht="33.75" x14ac:dyDescent="0.2">
      <c r="A12" s="234"/>
      <c r="B12" s="212"/>
      <c r="C12" s="211"/>
      <c r="D12" s="10" t="s">
        <v>145</v>
      </c>
      <c r="E12" s="11">
        <v>44455</v>
      </c>
      <c r="F12" s="11">
        <v>44455</v>
      </c>
      <c r="G12" s="8"/>
      <c r="H12" s="32"/>
      <c r="I12" s="44"/>
      <c r="J12" s="44"/>
      <c r="K12" s="18"/>
      <c r="L12" s="18"/>
      <c r="M12" s="18"/>
      <c r="N12" s="18"/>
      <c r="O12" s="44"/>
      <c r="P12" s="18"/>
      <c r="Q12" s="44"/>
      <c r="R12" s="44"/>
      <c r="S12" s="44"/>
      <c r="U12" s="147"/>
    </row>
    <row r="13" spans="1:21" ht="22.5" x14ac:dyDescent="0.2">
      <c r="A13" s="234"/>
      <c r="B13" s="212"/>
      <c r="C13" s="211" t="s">
        <v>30</v>
      </c>
      <c r="D13" s="10" t="s">
        <v>142</v>
      </c>
      <c r="E13" s="11">
        <v>44200</v>
      </c>
      <c r="F13" s="11">
        <v>44230</v>
      </c>
      <c r="G13" s="8"/>
      <c r="H13" s="32"/>
      <c r="I13" s="44"/>
      <c r="J13" s="44"/>
      <c r="K13" s="18"/>
      <c r="L13" s="18"/>
      <c r="M13" s="18"/>
      <c r="N13" s="18"/>
      <c r="O13" s="44"/>
      <c r="P13" s="18"/>
      <c r="Q13" s="44"/>
      <c r="R13" s="44"/>
      <c r="S13" s="44"/>
    </row>
    <row r="14" spans="1:21" ht="22.5" x14ac:dyDescent="0.2">
      <c r="A14" s="234"/>
      <c r="B14" s="212"/>
      <c r="C14" s="211"/>
      <c r="D14" s="10" t="s">
        <v>143</v>
      </c>
      <c r="E14" s="11">
        <v>44290</v>
      </c>
      <c r="F14" s="11">
        <v>44335</v>
      </c>
      <c r="G14" s="9">
        <v>750105</v>
      </c>
      <c r="H14" s="42">
        <v>44800</v>
      </c>
      <c r="I14" s="42"/>
      <c r="J14" s="128">
        <f>H14+I14</f>
        <v>44800</v>
      </c>
      <c r="K14" s="18" t="s">
        <v>508</v>
      </c>
      <c r="L14" s="18" t="s">
        <v>511</v>
      </c>
      <c r="M14" s="124">
        <v>44470</v>
      </c>
      <c r="N14" s="125" t="s">
        <v>461</v>
      </c>
      <c r="O14" s="44">
        <f>40000-40000</f>
        <v>0</v>
      </c>
      <c r="P14" s="18">
        <v>5000002281</v>
      </c>
      <c r="Q14" s="44">
        <v>40000</v>
      </c>
      <c r="R14" s="44"/>
      <c r="S14" s="44">
        <f>J14-O14-Q14</f>
        <v>4800</v>
      </c>
      <c r="T14" s="118"/>
    </row>
    <row r="15" spans="1:21" ht="33.75" x14ac:dyDescent="0.2">
      <c r="A15" s="234"/>
      <c r="B15" s="212"/>
      <c r="C15" s="211"/>
      <c r="D15" s="10" t="s">
        <v>144</v>
      </c>
      <c r="E15" s="11">
        <v>44365</v>
      </c>
      <c r="F15" s="11">
        <v>44425</v>
      </c>
      <c r="G15" s="8"/>
      <c r="H15" s="32"/>
      <c r="I15" s="44"/>
      <c r="J15" s="44"/>
      <c r="K15" s="18"/>
      <c r="L15" s="18"/>
      <c r="M15" s="18"/>
      <c r="N15" s="18"/>
      <c r="O15" s="44"/>
      <c r="P15" s="18"/>
      <c r="Q15" s="44"/>
      <c r="R15" s="44"/>
      <c r="S15" s="44"/>
    </row>
    <row r="16" spans="1:21" ht="33.75" x14ac:dyDescent="0.2">
      <c r="A16" s="234"/>
      <c r="B16" s="212"/>
      <c r="C16" s="211"/>
      <c r="D16" s="10" t="s">
        <v>145</v>
      </c>
      <c r="E16" s="11">
        <v>44455</v>
      </c>
      <c r="F16" s="11">
        <v>44455</v>
      </c>
      <c r="G16" s="8"/>
      <c r="H16" s="32"/>
      <c r="I16" s="44"/>
      <c r="J16" s="44"/>
      <c r="K16" s="18"/>
      <c r="L16" s="18"/>
      <c r="M16" s="18"/>
      <c r="N16" s="18"/>
      <c r="O16" s="44"/>
      <c r="P16" s="18"/>
      <c r="Q16" s="44"/>
      <c r="R16" s="44"/>
      <c r="S16" s="44"/>
    </row>
    <row r="17" spans="1:20" ht="22.5" x14ac:dyDescent="0.2">
      <c r="A17" s="234"/>
      <c r="B17" s="212"/>
      <c r="C17" s="211" t="s">
        <v>31</v>
      </c>
      <c r="D17" s="10" t="s">
        <v>142</v>
      </c>
      <c r="E17" s="11">
        <v>44200</v>
      </c>
      <c r="F17" s="11">
        <v>44230</v>
      </c>
      <c r="G17" s="8"/>
      <c r="H17" s="32"/>
      <c r="I17" s="44"/>
      <c r="J17" s="44"/>
      <c r="K17" s="18"/>
      <c r="L17" s="18"/>
      <c r="M17" s="18"/>
      <c r="N17" s="18"/>
      <c r="O17" s="44"/>
      <c r="P17" s="18"/>
      <c r="Q17" s="44"/>
      <c r="R17" s="44"/>
      <c r="S17" s="44"/>
    </row>
    <row r="18" spans="1:20" ht="22.5" x14ac:dyDescent="0.2">
      <c r="A18" s="234"/>
      <c r="B18" s="212"/>
      <c r="C18" s="211"/>
      <c r="D18" s="10" t="s">
        <v>143</v>
      </c>
      <c r="E18" s="11">
        <v>44290</v>
      </c>
      <c r="F18" s="11">
        <v>44335</v>
      </c>
      <c r="G18" s="9">
        <v>750105</v>
      </c>
      <c r="H18" s="42">
        <v>67200</v>
      </c>
      <c r="I18" s="42"/>
      <c r="J18" s="128">
        <f>H18+I18</f>
        <v>67200</v>
      </c>
      <c r="K18" s="18" t="s">
        <v>508</v>
      </c>
      <c r="L18" s="18" t="s">
        <v>511</v>
      </c>
      <c r="M18" s="124">
        <v>44470</v>
      </c>
      <c r="N18" s="125" t="s">
        <v>461</v>
      </c>
      <c r="O18" s="44">
        <f>60000-60000</f>
        <v>0</v>
      </c>
      <c r="P18" s="18">
        <v>5000002281</v>
      </c>
      <c r="Q18" s="44">
        <v>60000</v>
      </c>
      <c r="R18" s="44"/>
      <c r="S18" s="44">
        <f>J18-O18-Q18</f>
        <v>7200</v>
      </c>
      <c r="T18" s="118"/>
    </row>
    <row r="19" spans="1:20" ht="33.75" x14ac:dyDescent="0.2">
      <c r="A19" s="234"/>
      <c r="B19" s="212"/>
      <c r="C19" s="211"/>
      <c r="D19" s="10" t="s">
        <v>144</v>
      </c>
      <c r="E19" s="11">
        <v>44365</v>
      </c>
      <c r="F19" s="11">
        <v>44425</v>
      </c>
      <c r="G19" s="8"/>
      <c r="H19" s="32"/>
      <c r="I19" s="44"/>
      <c r="J19" s="44"/>
      <c r="K19" s="18"/>
      <c r="L19" s="18"/>
      <c r="M19" s="18"/>
      <c r="N19" s="18"/>
      <c r="O19" s="44"/>
      <c r="P19" s="18"/>
      <c r="Q19" s="44"/>
      <c r="R19" s="44"/>
      <c r="S19" s="44"/>
    </row>
    <row r="20" spans="1:20" ht="33.75" x14ac:dyDescent="0.2">
      <c r="A20" s="234"/>
      <c r="B20" s="212"/>
      <c r="C20" s="211"/>
      <c r="D20" s="10" t="s">
        <v>145</v>
      </c>
      <c r="E20" s="11">
        <v>44455</v>
      </c>
      <c r="F20" s="11">
        <v>44455</v>
      </c>
      <c r="G20" s="8"/>
      <c r="H20" s="32"/>
      <c r="I20" s="44"/>
      <c r="J20" s="44"/>
      <c r="K20" s="18"/>
      <c r="L20" s="18"/>
      <c r="M20" s="18"/>
      <c r="N20" s="18"/>
      <c r="O20" s="44"/>
      <c r="P20" s="18"/>
      <c r="Q20" s="44"/>
      <c r="R20" s="44"/>
      <c r="S20" s="44"/>
    </row>
    <row r="21" spans="1:20" ht="22.5" x14ac:dyDescent="0.2">
      <c r="A21" s="234"/>
      <c r="B21" s="212"/>
      <c r="C21" s="211" t="s">
        <v>32</v>
      </c>
      <c r="D21" s="10" t="s">
        <v>142</v>
      </c>
      <c r="E21" s="11">
        <v>44231</v>
      </c>
      <c r="F21" s="11">
        <v>44261</v>
      </c>
      <c r="G21" s="8"/>
      <c r="H21" s="32"/>
      <c r="I21" s="44"/>
      <c r="J21" s="44"/>
      <c r="K21" s="18"/>
      <c r="L21" s="18"/>
      <c r="M21" s="18"/>
      <c r="N21" s="18"/>
      <c r="O21" s="44"/>
      <c r="P21" s="18"/>
      <c r="Q21" s="44"/>
      <c r="R21" s="44"/>
      <c r="S21" s="44"/>
    </row>
    <row r="22" spans="1:20" ht="22.5" x14ac:dyDescent="0.2">
      <c r="A22" s="234"/>
      <c r="B22" s="212"/>
      <c r="C22" s="211"/>
      <c r="D22" s="10" t="s">
        <v>143</v>
      </c>
      <c r="E22" s="11">
        <v>44321</v>
      </c>
      <c r="F22" s="11">
        <v>44366</v>
      </c>
      <c r="G22" s="9">
        <v>750104</v>
      </c>
      <c r="H22" s="42">
        <v>22400</v>
      </c>
      <c r="I22" s="42"/>
      <c r="J22" s="128">
        <f>H22+I22</f>
        <v>22400</v>
      </c>
      <c r="K22" s="109" t="s">
        <v>455</v>
      </c>
      <c r="L22" s="18" t="s">
        <v>426</v>
      </c>
      <c r="M22" s="124">
        <v>44343</v>
      </c>
      <c r="N22" s="125" t="s">
        <v>377</v>
      </c>
      <c r="O22" s="44">
        <f>22400-20000-2400</f>
        <v>0</v>
      </c>
      <c r="P22" s="18">
        <v>5000002191</v>
      </c>
      <c r="Q22" s="44">
        <v>20000</v>
      </c>
      <c r="R22" s="44">
        <f>14113.96+2093.08+1548.97</f>
        <v>17756.009999999998</v>
      </c>
      <c r="S22" s="44">
        <f>J22-O22-Q22</f>
        <v>2400</v>
      </c>
      <c r="T22" s="146">
        <f>O22</f>
        <v>0</v>
      </c>
    </row>
    <row r="23" spans="1:20" ht="33.75" x14ac:dyDescent="0.2">
      <c r="A23" s="234"/>
      <c r="B23" s="212"/>
      <c r="C23" s="211"/>
      <c r="D23" s="10" t="s">
        <v>144</v>
      </c>
      <c r="E23" s="11">
        <v>44396</v>
      </c>
      <c r="F23" s="11">
        <v>44486</v>
      </c>
      <c r="G23" s="8"/>
      <c r="H23" s="32"/>
      <c r="I23" s="44"/>
      <c r="J23" s="44"/>
      <c r="K23" s="18"/>
      <c r="L23" s="18"/>
      <c r="M23" s="18"/>
      <c r="N23" s="18"/>
      <c r="O23" s="44"/>
      <c r="P23" s="18"/>
      <c r="Q23" s="44"/>
      <c r="R23" s="44"/>
      <c r="S23" s="44"/>
    </row>
    <row r="24" spans="1:20" ht="33.75" x14ac:dyDescent="0.2">
      <c r="A24" s="234"/>
      <c r="B24" s="212"/>
      <c r="C24" s="211"/>
      <c r="D24" s="10" t="s">
        <v>145</v>
      </c>
      <c r="E24" s="11">
        <v>44516</v>
      </c>
      <c r="F24" s="11">
        <v>44516</v>
      </c>
      <c r="G24" s="8"/>
      <c r="H24" s="32"/>
      <c r="I24" s="44"/>
      <c r="J24" s="44"/>
      <c r="K24" s="18"/>
      <c r="L24" s="18"/>
      <c r="M24" s="18"/>
      <c r="N24" s="18"/>
      <c r="O24" s="44"/>
      <c r="P24" s="18"/>
      <c r="Q24" s="44"/>
      <c r="R24" s="44"/>
      <c r="S24" s="44"/>
    </row>
    <row r="25" spans="1:20" ht="22.5" x14ac:dyDescent="0.2">
      <c r="A25" s="234"/>
      <c r="B25" s="212"/>
      <c r="C25" s="235" t="s">
        <v>33</v>
      </c>
      <c r="D25" s="10" t="s">
        <v>142</v>
      </c>
      <c r="E25" s="11">
        <v>44231</v>
      </c>
      <c r="F25" s="11">
        <v>44261</v>
      </c>
      <c r="G25" s="8"/>
      <c r="H25" s="32"/>
      <c r="I25" s="44"/>
      <c r="J25" s="44"/>
      <c r="K25" s="18"/>
      <c r="L25" s="18"/>
      <c r="M25" s="18"/>
      <c r="N25" s="18"/>
      <c r="O25" s="44"/>
      <c r="P25" s="18"/>
      <c r="Q25" s="44"/>
      <c r="R25" s="44"/>
      <c r="S25" s="44"/>
    </row>
    <row r="26" spans="1:20" ht="22.5" x14ac:dyDescent="0.2">
      <c r="A26" s="234"/>
      <c r="B26" s="212"/>
      <c r="C26" s="235"/>
      <c r="D26" s="10" t="s">
        <v>143</v>
      </c>
      <c r="E26" s="11">
        <v>44321</v>
      </c>
      <c r="F26" s="11">
        <v>44366</v>
      </c>
      <c r="G26" s="9">
        <v>750104</v>
      </c>
      <c r="H26" s="42">
        <v>7168</v>
      </c>
      <c r="I26" s="42"/>
      <c r="J26" s="128">
        <f>H26+I26</f>
        <v>7168</v>
      </c>
      <c r="K26" s="109" t="s">
        <v>509</v>
      </c>
      <c r="L26" s="18" t="s">
        <v>510</v>
      </c>
      <c r="M26" s="124">
        <v>44474</v>
      </c>
      <c r="N26" s="125" t="s">
        <v>467</v>
      </c>
      <c r="O26" s="44">
        <f>6400-6400</f>
        <v>0</v>
      </c>
      <c r="P26" s="18">
        <v>5000002280</v>
      </c>
      <c r="Q26" s="44">
        <v>6400</v>
      </c>
      <c r="R26" s="44"/>
      <c r="S26" s="44">
        <f>J26-O26-Q26</f>
        <v>768</v>
      </c>
    </row>
    <row r="27" spans="1:20" ht="33.75" x14ac:dyDescent="0.2">
      <c r="A27" s="234"/>
      <c r="B27" s="212"/>
      <c r="C27" s="235"/>
      <c r="D27" s="10" t="s">
        <v>144</v>
      </c>
      <c r="E27" s="11">
        <v>44396</v>
      </c>
      <c r="F27" s="11">
        <v>44486</v>
      </c>
      <c r="G27" s="8"/>
      <c r="H27" s="32"/>
      <c r="I27" s="44"/>
      <c r="J27" s="44"/>
      <c r="K27" s="18"/>
      <c r="L27" s="18"/>
      <c r="M27" s="18"/>
      <c r="N27" s="18"/>
      <c r="O27" s="44"/>
      <c r="P27" s="18"/>
      <c r="Q27" s="44"/>
      <c r="R27" s="44"/>
      <c r="S27" s="44"/>
    </row>
    <row r="28" spans="1:20" ht="33.75" x14ac:dyDescent="0.2">
      <c r="A28" s="234"/>
      <c r="B28" s="212"/>
      <c r="C28" s="235"/>
      <c r="D28" s="10" t="s">
        <v>145</v>
      </c>
      <c r="E28" s="11">
        <v>44516</v>
      </c>
      <c r="F28" s="11">
        <v>44516</v>
      </c>
      <c r="G28" s="8"/>
      <c r="H28" s="32"/>
      <c r="I28" s="44"/>
      <c r="J28" s="44"/>
      <c r="K28" s="18"/>
      <c r="L28" s="18"/>
      <c r="M28" s="18"/>
      <c r="N28" s="18"/>
      <c r="O28" s="44"/>
      <c r="P28" s="18"/>
      <c r="Q28" s="44"/>
      <c r="R28" s="44"/>
      <c r="S28" s="44"/>
    </row>
    <row r="29" spans="1:20" ht="22.5" x14ac:dyDescent="0.2">
      <c r="A29" s="234"/>
      <c r="B29" s="212"/>
      <c r="C29" s="211" t="s">
        <v>34</v>
      </c>
      <c r="D29" s="10" t="s">
        <v>142</v>
      </c>
      <c r="E29" s="11">
        <v>44231</v>
      </c>
      <c r="F29" s="11">
        <v>44261</v>
      </c>
      <c r="G29" s="8"/>
      <c r="H29" s="32"/>
      <c r="I29" s="44"/>
      <c r="J29" s="44"/>
      <c r="K29" s="18"/>
      <c r="L29" s="18"/>
      <c r="M29" s="18"/>
      <c r="N29" s="18"/>
      <c r="O29" s="44"/>
      <c r="P29" s="18"/>
      <c r="Q29" s="44"/>
      <c r="R29" s="44"/>
      <c r="S29" s="44"/>
    </row>
    <row r="30" spans="1:20" ht="22.5" x14ac:dyDescent="0.2">
      <c r="A30" s="234"/>
      <c r="B30" s="212"/>
      <c r="C30" s="211"/>
      <c r="D30" s="10" t="s">
        <v>143</v>
      </c>
      <c r="E30" s="11">
        <v>44321</v>
      </c>
      <c r="F30" s="11">
        <v>44366</v>
      </c>
      <c r="G30" s="9">
        <v>750104</v>
      </c>
      <c r="H30" s="42">
        <v>23520</v>
      </c>
      <c r="I30" s="42"/>
      <c r="J30" s="128">
        <f>H30+I30</f>
        <v>23520</v>
      </c>
      <c r="K30" s="109" t="s">
        <v>455</v>
      </c>
      <c r="L30" s="18" t="s">
        <v>426</v>
      </c>
      <c r="M30" s="124">
        <v>44343</v>
      </c>
      <c r="N30" s="125" t="s">
        <v>377</v>
      </c>
      <c r="O30" s="44">
        <f>23520-21000-2520</f>
        <v>0</v>
      </c>
      <c r="P30" s="18">
        <v>5000002191</v>
      </c>
      <c r="Q30" s="44">
        <v>21000</v>
      </c>
      <c r="R30" s="44">
        <f>4545.37+17816.32</f>
        <v>22361.69</v>
      </c>
      <c r="S30" s="44">
        <f>J30-O30-Q30</f>
        <v>2520</v>
      </c>
      <c r="T30" s="146">
        <f>O30</f>
        <v>0</v>
      </c>
    </row>
    <row r="31" spans="1:20" ht="33.75" x14ac:dyDescent="0.2">
      <c r="A31" s="234"/>
      <c r="B31" s="212"/>
      <c r="C31" s="211"/>
      <c r="D31" s="10" t="s">
        <v>144</v>
      </c>
      <c r="E31" s="11">
        <v>44396</v>
      </c>
      <c r="F31" s="11">
        <v>44486</v>
      </c>
      <c r="G31" s="8"/>
      <c r="H31" s="32"/>
      <c r="I31" s="44"/>
      <c r="J31" s="44"/>
      <c r="K31" s="18"/>
      <c r="L31" s="18"/>
      <c r="M31" s="18"/>
      <c r="N31" s="18"/>
      <c r="O31" s="44"/>
      <c r="P31" s="18"/>
      <c r="Q31" s="44"/>
      <c r="R31" s="44"/>
      <c r="S31" s="44"/>
    </row>
    <row r="32" spans="1:20" ht="33.75" x14ac:dyDescent="0.2">
      <c r="A32" s="234"/>
      <c r="B32" s="212"/>
      <c r="C32" s="211"/>
      <c r="D32" s="10" t="s">
        <v>145</v>
      </c>
      <c r="E32" s="11">
        <v>44516</v>
      </c>
      <c r="F32" s="11">
        <v>44516</v>
      </c>
      <c r="G32" s="8"/>
      <c r="H32" s="32"/>
      <c r="I32" s="44"/>
      <c r="J32" s="44"/>
      <c r="K32" s="18"/>
      <c r="L32" s="18"/>
      <c r="M32" s="18"/>
      <c r="N32" s="18"/>
      <c r="O32" s="44"/>
      <c r="P32" s="18"/>
      <c r="Q32" s="44"/>
      <c r="R32" s="44"/>
      <c r="S32" s="44"/>
    </row>
    <row r="33" spans="1:21" ht="22.5" x14ac:dyDescent="0.2">
      <c r="A33" s="234"/>
      <c r="B33" s="212"/>
      <c r="C33" s="211" t="s">
        <v>35</v>
      </c>
      <c r="D33" s="10" t="s">
        <v>142</v>
      </c>
      <c r="E33" s="11">
        <v>44231</v>
      </c>
      <c r="F33" s="11">
        <v>44261</v>
      </c>
      <c r="G33" s="8"/>
      <c r="H33" s="32"/>
      <c r="I33" s="44"/>
      <c r="J33" s="44"/>
      <c r="K33" s="18"/>
      <c r="L33" s="18"/>
      <c r="M33" s="18"/>
      <c r="N33" s="18"/>
      <c r="O33" s="44"/>
      <c r="P33" s="18"/>
      <c r="Q33" s="44"/>
      <c r="R33" s="44"/>
      <c r="S33" s="44"/>
    </row>
    <row r="34" spans="1:21" ht="22.5" x14ac:dyDescent="0.2">
      <c r="A34" s="234"/>
      <c r="B34" s="212"/>
      <c r="C34" s="211"/>
      <c r="D34" s="10" t="s">
        <v>143</v>
      </c>
      <c r="E34" s="11">
        <v>44321</v>
      </c>
      <c r="F34" s="11">
        <v>44366</v>
      </c>
      <c r="G34" s="9">
        <v>750104</v>
      </c>
      <c r="H34" s="42">
        <v>17696</v>
      </c>
      <c r="I34" s="42"/>
      <c r="J34" s="128">
        <f>H34+I34</f>
        <v>17696</v>
      </c>
      <c r="K34" s="109" t="s">
        <v>455</v>
      </c>
      <c r="L34" s="18" t="s">
        <v>426</v>
      </c>
      <c r="M34" s="124">
        <v>44343</v>
      </c>
      <c r="N34" s="125" t="s">
        <v>377</v>
      </c>
      <c r="O34" s="44">
        <f>17696-15800-1896</f>
        <v>0</v>
      </c>
      <c r="P34" s="18">
        <v>5000002191</v>
      </c>
      <c r="Q34" s="44">
        <v>15800</v>
      </c>
      <c r="R34" s="44">
        <f>11638.23+5620.7</f>
        <v>17258.93</v>
      </c>
      <c r="S34" s="44">
        <f>J34-O34-Q34</f>
        <v>1896</v>
      </c>
      <c r="T34" s="146">
        <f>O34</f>
        <v>0</v>
      </c>
    </row>
    <row r="35" spans="1:21" ht="33.75" x14ac:dyDescent="0.2">
      <c r="A35" s="234"/>
      <c r="B35" s="212"/>
      <c r="C35" s="211"/>
      <c r="D35" s="10" t="s">
        <v>144</v>
      </c>
      <c r="E35" s="11">
        <v>44396</v>
      </c>
      <c r="F35" s="11">
        <v>44486</v>
      </c>
      <c r="G35" s="8"/>
      <c r="H35" s="32"/>
      <c r="I35" s="44"/>
      <c r="J35" s="44"/>
      <c r="K35" s="18"/>
      <c r="L35" s="18"/>
      <c r="M35" s="18"/>
      <c r="N35" s="18"/>
      <c r="O35" s="44"/>
      <c r="P35" s="18"/>
      <c r="Q35" s="44"/>
      <c r="R35" s="44"/>
      <c r="S35" s="44"/>
    </row>
    <row r="36" spans="1:21" ht="33.75" x14ac:dyDescent="0.2">
      <c r="A36" s="234"/>
      <c r="B36" s="212"/>
      <c r="C36" s="211"/>
      <c r="D36" s="10" t="s">
        <v>145</v>
      </c>
      <c r="E36" s="11">
        <v>44516</v>
      </c>
      <c r="F36" s="11">
        <v>44516</v>
      </c>
      <c r="G36" s="8"/>
      <c r="H36" s="32"/>
      <c r="I36" s="44"/>
      <c r="J36" s="44"/>
      <c r="K36" s="18"/>
      <c r="L36" s="18"/>
      <c r="M36" s="18"/>
      <c r="N36" s="18"/>
      <c r="O36" s="44"/>
      <c r="P36" s="18"/>
      <c r="Q36" s="44"/>
      <c r="R36" s="44"/>
      <c r="S36" s="44"/>
    </row>
    <row r="37" spans="1:21" ht="22.5" x14ac:dyDescent="0.2">
      <c r="A37" s="234"/>
      <c r="B37" s="212"/>
      <c r="C37" s="211" t="s">
        <v>36</v>
      </c>
      <c r="D37" s="10" t="s">
        <v>142</v>
      </c>
      <c r="E37" s="11">
        <v>44231</v>
      </c>
      <c r="F37" s="11">
        <v>44271</v>
      </c>
      <c r="G37" s="8"/>
      <c r="H37" s="32"/>
      <c r="I37" s="44"/>
      <c r="J37" s="44"/>
      <c r="K37" s="18"/>
      <c r="L37" s="18"/>
      <c r="M37" s="18"/>
      <c r="N37" s="18"/>
      <c r="O37" s="44"/>
      <c r="P37" s="18"/>
      <c r="Q37" s="44"/>
      <c r="R37" s="44"/>
      <c r="S37" s="44"/>
    </row>
    <row r="38" spans="1:21" ht="22.5" x14ac:dyDescent="0.2">
      <c r="A38" s="234"/>
      <c r="B38" s="212"/>
      <c r="C38" s="211"/>
      <c r="D38" s="10" t="s">
        <v>143</v>
      </c>
      <c r="E38" s="11">
        <v>44321</v>
      </c>
      <c r="F38" s="11">
        <v>44366</v>
      </c>
      <c r="G38" s="9">
        <v>750104</v>
      </c>
      <c r="H38" s="42">
        <v>7616</v>
      </c>
      <c r="I38" s="42"/>
      <c r="J38" s="128">
        <f>H38+I38</f>
        <v>7616</v>
      </c>
      <c r="K38" s="109" t="s">
        <v>455</v>
      </c>
      <c r="L38" s="18" t="s">
        <v>426</v>
      </c>
      <c r="M38" s="124">
        <v>44343</v>
      </c>
      <c r="N38" s="125" t="s">
        <v>377</v>
      </c>
      <c r="O38" s="44">
        <f>7616-3060-4556</f>
        <v>0</v>
      </c>
      <c r="P38" s="18">
        <v>5000002191</v>
      </c>
      <c r="Q38" s="44">
        <v>3060</v>
      </c>
      <c r="R38" s="44">
        <f>866.37+2179.68</f>
        <v>3046.0499999999997</v>
      </c>
      <c r="S38" s="44">
        <f>J38-O38-Q38</f>
        <v>4556</v>
      </c>
      <c r="T38" s="146">
        <f>O38</f>
        <v>0</v>
      </c>
    </row>
    <row r="39" spans="1:21" ht="33.75" x14ac:dyDescent="0.2">
      <c r="A39" s="234"/>
      <c r="B39" s="212"/>
      <c r="C39" s="211"/>
      <c r="D39" s="10" t="s">
        <v>144</v>
      </c>
      <c r="E39" s="11">
        <v>44396</v>
      </c>
      <c r="F39" s="11">
        <v>44486</v>
      </c>
      <c r="G39" s="8"/>
      <c r="H39" s="32"/>
      <c r="I39" s="44"/>
      <c r="J39" s="44"/>
      <c r="K39" s="18"/>
      <c r="L39" s="18"/>
      <c r="M39" s="18"/>
      <c r="N39" s="18"/>
      <c r="O39" s="44"/>
      <c r="P39" s="18"/>
      <c r="Q39" s="44"/>
      <c r="R39" s="44"/>
      <c r="S39" s="44"/>
    </row>
    <row r="40" spans="1:21" ht="33.75" x14ac:dyDescent="0.2">
      <c r="A40" s="234"/>
      <c r="B40" s="212"/>
      <c r="C40" s="211"/>
      <c r="D40" s="10" t="s">
        <v>145</v>
      </c>
      <c r="E40" s="11">
        <v>44516</v>
      </c>
      <c r="F40" s="11">
        <v>44516</v>
      </c>
      <c r="G40" s="8"/>
      <c r="H40" s="32"/>
      <c r="I40" s="44"/>
      <c r="J40" s="44"/>
      <c r="K40" s="18"/>
      <c r="L40" s="18"/>
      <c r="M40" s="18"/>
      <c r="N40" s="18"/>
      <c r="O40" s="44"/>
      <c r="P40" s="18"/>
      <c r="Q40" s="44"/>
      <c r="R40" s="44"/>
      <c r="S40" s="44"/>
    </row>
    <row r="41" spans="1:21" ht="22.5" x14ac:dyDescent="0.2">
      <c r="A41" s="234"/>
      <c r="B41" s="212"/>
      <c r="C41" s="211" t="s">
        <v>37</v>
      </c>
      <c r="D41" s="10" t="s">
        <v>142</v>
      </c>
      <c r="E41" s="11">
        <v>44231</v>
      </c>
      <c r="F41" s="11">
        <v>44261</v>
      </c>
      <c r="G41" s="8"/>
      <c r="H41" s="32"/>
      <c r="I41" s="44"/>
      <c r="J41" s="44"/>
      <c r="K41" s="18"/>
      <c r="L41" s="18"/>
      <c r="M41" s="18"/>
      <c r="N41" s="18"/>
      <c r="O41" s="44"/>
      <c r="P41" s="18"/>
      <c r="Q41" s="44"/>
      <c r="R41" s="44"/>
      <c r="S41" s="44"/>
    </row>
    <row r="42" spans="1:21" ht="22.5" x14ac:dyDescent="0.2">
      <c r="A42" s="234"/>
      <c r="B42" s="212"/>
      <c r="C42" s="211"/>
      <c r="D42" s="10" t="s">
        <v>143</v>
      </c>
      <c r="E42" s="11">
        <v>44321</v>
      </c>
      <c r="F42" s="11">
        <v>44366</v>
      </c>
      <c r="G42" s="9">
        <v>750104</v>
      </c>
      <c r="H42" s="42">
        <v>41800</v>
      </c>
      <c r="I42" s="42"/>
      <c r="J42" s="128">
        <f>H42+I42</f>
        <v>41800</v>
      </c>
      <c r="K42" s="109" t="s">
        <v>455</v>
      </c>
      <c r="L42" s="18" t="s">
        <v>426</v>
      </c>
      <c r="M42" s="124">
        <v>44343</v>
      </c>
      <c r="N42" s="125" t="s">
        <v>377</v>
      </c>
      <c r="O42" s="44">
        <f>41800-18516-23284</f>
        <v>0</v>
      </c>
      <c r="P42" s="18">
        <v>5000002191</v>
      </c>
      <c r="Q42" s="44">
        <v>18516</v>
      </c>
      <c r="R42" s="44">
        <f>12042.96+4027.84</f>
        <v>16070.8</v>
      </c>
      <c r="S42" s="44">
        <f>J42-O42-Q42</f>
        <v>23284</v>
      </c>
      <c r="T42" s="146">
        <f>O42</f>
        <v>0</v>
      </c>
    </row>
    <row r="43" spans="1:21" ht="33.75" x14ac:dyDescent="0.2">
      <c r="A43" s="234"/>
      <c r="B43" s="212"/>
      <c r="C43" s="211"/>
      <c r="D43" s="10" t="s">
        <v>144</v>
      </c>
      <c r="E43" s="11">
        <v>44396</v>
      </c>
      <c r="F43" s="11">
        <v>44486</v>
      </c>
      <c r="G43" s="8"/>
      <c r="H43" s="32"/>
      <c r="I43" s="44"/>
      <c r="J43" s="44"/>
      <c r="K43" s="18"/>
      <c r="L43" s="18"/>
      <c r="M43" s="18"/>
      <c r="N43" s="18"/>
      <c r="O43" s="44"/>
      <c r="P43" s="18"/>
      <c r="Q43" s="44"/>
      <c r="R43" s="44"/>
      <c r="S43" s="44"/>
    </row>
    <row r="44" spans="1:21" ht="33.75" x14ac:dyDescent="0.2">
      <c r="A44" s="234"/>
      <c r="B44" s="212"/>
      <c r="C44" s="211"/>
      <c r="D44" s="10" t="s">
        <v>145</v>
      </c>
      <c r="E44" s="11">
        <v>44516</v>
      </c>
      <c r="F44" s="11">
        <v>44516</v>
      </c>
      <c r="G44" s="8"/>
      <c r="H44" s="32"/>
      <c r="I44" s="44"/>
      <c r="J44" s="44"/>
      <c r="K44" s="18"/>
      <c r="L44" s="18"/>
      <c r="M44" s="18"/>
      <c r="N44" s="18"/>
      <c r="O44" s="44"/>
      <c r="P44" s="18"/>
      <c r="Q44" s="44"/>
      <c r="R44" s="44"/>
      <c r="S44" s="44"/>
    </row>
    <row r="45" spans="1:21" ht="22.5" x14ac:dyDescent="0.2">
      <c r="A45" s="234"/>
      <c r="B45" s="212"/>
      <c r="C45" s="211" t="s">
        <v>38</v>
      </c>
      <c r="D45" s="10" t="s">
        <v>142</v>
      </c>
      <c r="E45" s="11">
        <v>44215</v>
      </c>
      <c r="F45" s="11">
        <v>44245</v>
      </c>
      <c r="G45" s="8"/>
      <c r="H45" s="32"/>
      <c r="I45" s="44"/>
      <c r="J45" s="44"/>
      <c r="K45" s="18"/>
      <c r="L45" s="18"/>
      <c r="M45" s="18"/>
      <c r="N45" s="18"/>
      <c r="O45" s="44"/>
      <c r="P45" s="18"/>
      <c r="Q45" s="44"/>
      <c r="R45" s="44"/>
      <c r="S45" s="44"/>
    </row>
    <row r="46" spans="1:21" ht="27.75" customHeight="1" x14ac:dyDescent="0.2">
      <c r="A46" s="234"/>
      <c r="B46" s="212"/>
      <c r="C46" s="211"/>
      <c r="D46" s="10" t="s">
        <v>143</v>
      </c>
      <c r="E46" s="11">
        <v>44305</v>
      </c>
      <c r="F46" s="11">
        <v>44350</v>
      </c>
      <c r="G46" s="9">
        <v>750105</v>
      </c>
      <c r="H46" s="42">
        <v>31158.400000000001</v>
      </c>
      <c r="I46" s="42"/>
      <c r="J46" s="128">
        <f>H46+I46</f>
        <v>31158.400000000001</v>
      </c>
      <c r="K46" s="109" t="s">
        <v>481</v>
      </c>
      <c r="L46" s="18" t="s">
        <v>422</v>
      </c>
      <c r="M46" s="124">
        <v>44393</v>
      </c>
      <c r="N46" s="125" t="s">
        <v>398</v>
      </c>
      <c r="O46" s="44">
        <f>31158.4-3338.4-27820</f>
        <v>0</v>
      </c>
      <c r="P46" s="18">
        <v>5000002239</v>
      </c>
      <c r="Q46" s="44">
        <v>27820</v>
      </c>
      <c r="R46" s="44">
        <v>25456.75</v>
      </c>
      <c r="S46" s="44">
        <f>J46-O46-Q46</f>
        <v>3338.4000000000015</v>
      </c>
      <c r="T46" s="118"/>
      <c r="U46" s="118"/>
    </row>
    <row r="47" spans="1:21" ht="33.75" x14ac:dyDescent="0.2">
      <c r="A47" s="234"/>
      <c r="B47" s="212"/>
      <c r="C47" s="211"/>
      <c r="D47" s="10" t="s">
        <v>144</v>
      </c>
      <c r="E47" s="11">
        <v>44380</v>
      </c>
      <c r="F47" s="11">
        <v>44440</v>
      </c>
      <c r="G47" s="8"/>
      <c r="H47" s="32"/>
      <c r="I47" s="44"/>
      <c r="J47" s="44"/>
      <c r="K47" s="18"/>
      <c r="L47" s="18"/>
      <c r="M47" s="18"/>
      <c r="N47" s="18"/>
      <c r="O47" s="44"/>
      <c r="P47" s="18"/>
      <c r="Q47" s="44"/>
      <c r="R47" s="44"/>
      <c r="S47" s="44"/>
    </row>
    <row r="48" spans="1:21" ht="33.75" x14ac:dyDescent="0.2">
      <c r="A48" s="234"/>
      <c r="B48" s="212"/>
      <c r="C48" s="211"/>
      <c r="D48" s="10" t="s">
        <v>145</v>
      </c>
      <c r="E48" s="11">
        <v>44470</v>
      </c>
      <c r="F48" s="11">
        <v>44470</v>
      </c>
      <c r="G48" s="8"/>
      <c r="H48" s="32"/>
      <c r="I48" s="44"/>
      <c r="J48" s="44"/>
      <c r="K48" s="18"/>
      <c r="L48" s="18"/>
      <c r="M48" s="18"/>
      <c r="N48" s="18"/>
      <c r="O48" s="44"/>
      <c r="P48" s="18"/>
      <c r="Q48" s="44"/>
      <c r="R48" s="44"/>
      <c r="S48" s="44"/>
    </row>
    <row r="49" spans="1:21" ht="22.5" x14ac:dyDescent="0.2">
      <c r="A49" s="234"/>
      <c r="B49" s="212"/>
      <c r="C49" s="211" t="s">
        <v>39</v>
      </c>
      <c r="D49" s="10" t="s">
        <v>142</v>
      </c>
      <c r="E49" s="11">
        <v>44215</v>
      </c>
      <c r="F49" s="11">
        <v>44245</v>
      </c>
      <c r="G49" s="8"/>
      <c r="H49" s="32"/>
      <c r="I49" s="44"/>
      <c r="J49" s="44"/>
      <c r="K49" s="18"/>
      <c r="L49" s="18"/>
      <c r="M49" s="18"/>
      <c r="N49" s="18"/>
      <c r="O49" s="44"/>
      <c r="P49" s="18"/>
      <c r="Q49" s="44"/>
      <c r="R49" s="44"/>
      <c r="S49" s="44"/>
    </row>
    <row r="50" spans="1:21" ht="22.5" x14ac:dyDescent="0.2">
      <c r="A50" s="234"/>
      <c r="B50" s="212"/>
      <c r="C50" s="239"/>
      <c r="D50" s="10" t="s">
        <v>143</v>
      </c>
      <c r="E50" s="11">
        <v>44305</v>
      </c>
      <c r="F50" s="11">
        <v>44350</v>
      </c>
      <c r="G50" s="9">
        <v>750105</v>
      </c>
      <c r="H50" s="42">
        <v>31500</v>
      </c>
      <c r="I50" s="42"/>
      <c r="J50" s="128">
        <f>H50+I50</f>
        <v>31500</v>
      </c>
      <c r="K50" s="18" t="s">
        <v>481</v>
      </c>
      <c r="L50" s="18" t="s">
        <v>422</v>
      </c>
      <c r="M50" s="124">
        <v>44393</v>
      </c>
      <c r="N50" s="125" t="s">
        <v>398</v>
      </c>
      <c r="O50" s="44">
        <f>31500-3375-28125</f>
        <v>0</v>
      </c>
      <c r="P50" s="18">
        <v>5000002239</v>
      </c>
      <c r="Q50" s="44">
        <v>28125</v>
      </c>
      <c r="R50" s="44">
        <v>29446.86</v>
      </c>
      <c r="S50" s="44">
        <f>J50-O50-Q50</f>
        <v>3375</v>
      </c>
      <c r="T50" s="118"/>
      <c r="U50" s="118"/>
    </row>
    <row r="51" spans="1:21" ht="33.75" x14ac:dyDescent="0.2">
      <c r="A51" s="234"/>
      <c r="B51" s="212"/>
      <c r="C51" s="211"/>
      <c r="D51" s="10" t="s">
        <v>144</v>
      </c>
      <c r="E51" s="11">
        <v>44380</v>
      </c>
      <c r="F51" s="11">
        <v>44440</v>
      </c>
      <c r="G51" s="8"/>
      <c r="H51" s="32"/>
      <c r="I51" s="44"/>
      <c r="J51" s="44"/>
      <c r="K51" s="18"/>
      <c r="L51" s="18"/>
      <c r="M51" s="18"/>
      <c r="N51" s="18"/>
      <c r="O51" s="44"/>
      <c r="P51" s="18"/>
      <c r="Q51" s="44"/>
      <c r="R51" s="44"/>
      <c r="S51" s="44"/>
    </row>
    <row r="52" spans="1:21" ht="33.75" x14ac:dyDescent="0.2">
      <c r="A52" s="234"/>
      <c r="B52" s="212"/>
      <c r="C52" s="211"/>
      <c r="D52" s="10" t="s">
        <v>145</v>
      </c>
      <c r="E52" s="11">
        <v>44470</v>
      </c>
      <c r="F52" s="11">
        <v>44470</v>
      </c>
      <c r="G52" s="8"/>
      <c r="H52" s="32"/>
      <c r="I52" s="44"/>
      <c r="J52" s="44"/>
      <c r="K52" s="18"/>
      <c r="L52" s="18"/>
      <c r="M52" s="18"/>
      <c r="N52" s="18"/>
      <c r="O52" s="44"/>
      <c r="P52" s="18"/>
      <c r="Q52" s="44"/>
      <c r="R52" s="44"/>
      <c r="S52" s="44"/>
    </row>
    <row r="53" spans="1:21" ht="22.5" x14ac:dyDescent="0.2">
      <c r="A53" s="234"/>
      <c r="B53" s="212"/>
      <c r="C53" s="211" t="s">
        <v>40</v>
      </c>
      <c r="D53" s="10" t="s">
        <v>142</v>
      </c>
      <c r="E53" s="11">
        <v>44215</v>
      </c>
      <c r="F53" s="11">
        <v>44245</v>
      </c>
      <c r="G53" s="8"/>
      <c r="H53" s="32"/>
      <c r="I53" s="44"/>
      <c r="J53" s="44"/>
      <c r="K53" s="18"/>
      <c r="L53" s="18"/>
      <c r="M53" s="18"/>
      <c r="N53" s="18"/>
      <c r="O53" s="44"/>
      <c r="P53" s="18"/>
      <c r="Q53" s="44"/>
      <c r="R53" s="44"/>
      <c r="S53" s="44"/>
    </row>
    <row r="54" spans="1:21" ht="22.5" x14ac:dyDescent="0.2">
      <c r="A54" s="234"/>
      <c r="B54" s="212"/>
      <c r="C54" s="211"/>
      <c r="D54" s="10" t="s">
        <v>143</v>
      </c>
      <c r="E54" s="11">
        <v>44305</v>
      </c>
      <c r="F54" s="11">
        <v>44350</v>
      </c>
      <c r="G54" s="9">
        <v>750105</v>
      </c>
      <c r="H54" s="42">
        <v>19040</v>
      </c>
      <c r="I54" s="42"/>
      <c r="J54" s="128">
        <f>H54+I54</f>
        <v>19040</v>
      </c>
      <c r="K54" s="18" t="s">
        <v>481</v>
      </c>
      <c r="L54" s="18" t="s">
        <v>422</v>
      </c>
      <c r="M54" s="124">
        <v>44393</v>
      </c>
      <c r="N54" s="125" t="s">
        <v>398</v>
      </c>
      <c r="O54" s="44">
        <f>19040-2040-17000</f>
        <v>0</v>
      </c>
      <c r="P54" s="18">
        <v>5000002239</v>
      </c>
      <c r="Q54" s="44">
        <v>17000</v>
      </c>
      <c r="R54" s="44">
        <v>15306.76</v>
      </c>
      <c r="S54" s="44">
        <f>J54-O54-Q54</f>
        <v>2040</v>
      </c>
      <c r="T54" s="118"/>
      <c r="U54" s="118"/>
    </row>
    <row r="55" spans="1:21" ht="33.75" x14ac:dyDescent="0.2">
      <c r="A55" s="234"/>
      <c r="B55" s="212"/>
      <c r="C55" s="211"/>
      <c r="D55" s="10" t="s">
        <v>144</v>
      </c>
      <c r="E55" s="11">
        <v>44380</v>
      </c>
      <c r="F55" s="11">
        <v>44440</v>
      </c>
      <c r="G55" s="8"/>
      <c r="H55" s="32"/>
      <c r="I55" s="44"/>
      <c r="J55" s="44"/>
      <c r="K55" s="18"/>
      <c r="L55" s="18"/>
      <c r="M55" s="18"/>
      <c r="N55" s="18"/>
      <c r="O55" s="44"/>
      <c r="P55" s="18"/>
      <c r="Q55" s="44"/>
      <c r="R55" s="44"/>
      <c r="S55" s="44"/>
    </row>
    <row r="56" spans="1:21" ht="33.75" x14ac:dyDescent="0.2">
      <c r="A56" s="234"/>
      <c r="B56" s="212"/>
      <c r="C56" s="211"/>
      <c r="D56" s="10" t="s">
        <v>145</v>
      </c>
      <c r="E56" s="11">
        <v>44470</v>
      </c>
      <c r="F56" s="11">
        <v>44470</v>
      </c>
      <c r="G56" s="8"/>
      <c r="H56" s="32"/>
      <c r="I56" s="44"/>
      <c r="J56" s="44"/>
      <c r="K56" s="18"/>
      <c r="L56" s="18"/>
      <c r="M56" s="18"/>
      <c r="N56" s="18"/>
      <c r="O56" s="44"/>
      <c r="P56" s="18"/>
      <c r="Q56" s="44"/>
      <c r="R56" s="44"/>
      <c r="S56" s="44"/>
    </row>
    <row r="57" spans="1:21" ht="22.5" x14ac:dyDescent="0.2">
      <c r="A57" s="234"/>
      <c r="B57" s="212"/>
      <c r="C57" s="211" t="s">
        <v>41</v>
      </c>
      <c r="D57" s="10" t="s">
        <v>142</v>
      </c>
      <c r="E57" s="11">
        <v>44246</v>
      </c>
      <c r="F57" s="11">
        <v>44276</v>
      </c>
      <c r="G57" s="8"/>
      <c r="H57" s="32"/>
      <c r="I57" s="44"/>
      <c r="J57" s="44"/>
      <c r="K57" s="18"/>
      <c r="L57" s="18"/>
      <c r="M57" s="18"/>
      <c r="N57" s="18"/>
      <c r="O57" s="44"/>
      <c r="P57" s="18"/>
      <c r="Q57" s="44"/>
      <c r="R57" s="44"/>
      <c r="S57" s="44"/>
    </row>
    <row r="58" spans="1:21" ht="22.5" x14ac:dyDescent="0.2">
      <c r="A58" s="234"/>
      <c r="B58" s="212"/>
      <c r="C58" s="211"/>
      <c r="D58" s="10" t="s">
        <v>143</v>
      </c>
      <c r="E58" s="11">
        <v>44336</v>
      </c>
      <c r="F58" s="11">
        <v>44381</v>
      </c>
      <c r="G58" s="9">
        <v>750104</v>
      </c>
      <c r="H58" s="42">
        <v>2184</v>
      </c>
      <c r="I58" s="42"/>
      <c r="J58" s="128">
        <f>H58+I58</f>
        <v>2184</v>
      </c>
      <c r="K58" s="109" t="s">
        <v>494</v>
      </c>
      <c r="L58" s="18" t="s">
        <v>423</v>
      </c>
      <c r="M58" s="124">
        <v>44393</v>
      </c>
      <c r="N58" s="125" t="s">
        <v>399</v>
      </c>
      <c r="O58" s="44">
        <f>2184-234-1950</f>
        <v>0</v>
      </c>
      <c r="P58" s="18">
        <v>5000002261</v>
      </c>
      <c r="Q58" s="44">
        <v>1950</v>
      </c>
      <c r="R58" s="44">
        <v>1661.32</v>
      </c>
      <c r="S58" s="44">
        <f>J58-O58-Q58</f>
        <v>234</v>
      </c>
      <c r="T58" s="118"/>
      <c r="U58" s="118"/>
    </row>
    <row r="59" spans="1:21" ht="33.75" x14ac:dyDescent="0.2">
      <c r="A59" s="234"/>
      <c r="B59" s="212"/>
      <c r="C59" s="211"/>
      <c r="D59" s="10" t="s">
        <v>144</v>
      </c>
      <c r="E59" s="11">
        <v>44411</v>
      </c>
      <c r="F59" s="11">
        <v>44501</v>
      </c>
      <c r="G59" s="8"/>
      <c r="H59" s="32"/>
      <c r="I59" s="44"/>
      <c r="J59" s="44"/>
      <c r="K59" s="18"/>
      <c r="L59" s="18"/>
      <c r="M59" s="18"/>
      <c r="N59" s="18"/>
      <c r="O59" s="44"/>
      <c r="P59" s="18"/>
      <c r="Q59" s="44"/>
      <c r="R59" s="44"/>
      <c r="S59" s="44"/>
    </row>
    <row r="60" spans="1:21" ht="33.75" x14ac:dyDescent="0.2">
      <c r="A60" s="234"/>
      <c r="B60" s="212"/>
      <c r="C60" s="211"/>
      <c r="D60" s="10" t="s">
        <v>145</v>
      </c>
      <c r="E60" s="11">
        <v>44531</v>
      </c>
      <c r="F60" s="11">
        <v>44531</v>
      </c>
      <c r="G60" s="8"/>
      <c r="H60" s="32"/>
      <c r="I60" s="44"/>
      <c r="J60" s="44"/>
      <c r="K60" s="18"/>
      <c r="L60" s="18"/>
      <c r="M60" s="18"/>
      <c r="N60" s="18"/>
      <c r="O60" s="44"/>
      <c r="P60" s="18"/>
      <c r="Q60" s="44"/>
      <c r="R60" s="44"/>
      <c r="S60" s="44"/>
    </row>
    <row r="61" spans="1:21" ht="22.5" x14ac:dyDescent="0.2">
      <c r="A61" s="234"/>
      <c r="B61" s="212"/>
      <c r="C61" s="211" t="s">
        <v>42</v>
      </c>
      <c r="D61" s="10" t="s">
        <v>142</v>
      </c>
      <c r="E61" s="11">
        <v>44246</v>
      </c>
      <c r="F61" s="11">
        <v>44276</v>
      </c>
      <c r="G61" s="8"/>
      <c r="H61" s="32"/>
      <c r="I61" s="44"/>
      <c r="J61" s="44"/>
      <c r="K61" s="18"/>
      <c r="L61" s="18"/>
      <c r="M61" s="18"/>
      <c r="N61" s="18"/>
      <c r="O61" s="44"/>
      <c r="P61" s="18"/>
      <c r="Q61" s="44"/>
      <c r="R61" s="44"/>
      <c r="S61" s="44"/>
    </row>
    <row r="62" spans="1:21" ht="22.5" x14ac:dyDescent="0.2">
      <c r="A62" s="234"/>
      <c r="B62" s="212"/>
      <c r="C62" s="211"/>
      <c r="D62" s="10" t="s">
        <v>143</v>
      </c>
      <c r="E62" s="11">
        <v>44336</v>
      </c>
      <c r="F62" s="11">
        <v>44381</v>
      </c>
      <c r="G62" s="9">
        <v>750104</v>
      </c>
      <c r="H62" s="42">
        <v>24360</v>
      </c>
      <c r="I62" s="42"/>
      <c r="J62" s="128">
        <f>H62+I62</f>
        <v>24360</v>
      </c>
      <c r="K62" s="109" t="s">
        <v>494</v>
      </c>
      <c r="L62" s="18" t="s">
        <v>423</v>
      </c>
      <c r="M62" s="124">
        <v>44393</v>
      </c>
      <c r="N62" s="125" t="s">
        <v>399</v>
      </c>
      <c r="O62" s="44">
        <f>24360-2610-21750</f>
        <v>0</v>
      </c>
      <c r="P62" s="18">
        <v>5000002261</v>
      </c>
      <c r="Q62" s="44">
        <v>21750</v>
      </c>
      <c r="R62" s="44">
        <v>23524.9</v>
      </c>
      <c r="S62" s="44">
        <f>J62-O62-Q62</f>
        <v>2610</v>
      </c>
      <c r="T62" s="118"/>
      <c r="U62" s="118"/>
    </row>
    <row r="63" spans="1:21" ht="33.75" x14ac:dyDescent="0.2">
      <c r="A63" s="234"/>
      <c r="B63" s="212"/>
      <c r="C63" s="211"/>
      <c r="D63" s="10" t="s">
        <v>144</v>
      </c>
      <c r="E63" s="11">
        <v>44411</v>
      </c>
      <c r="F63" s="11">
        <v>44501</v>
      </c>
      <c r="G63" s="8"/>
      <c r="H63" s="32"/>
      <c r="I63" s="44"/>
      <c r="J63" s="44"/>
      <c r="K63" s="18"/>
      <c r="L63" s="18"/>
      <c r="M63" s="18"/>
      <c r="N63" s="18"/>
      <c r="O63" s="44"/>
      <c r="P63" s="18"/>
      <c r="Q63" s="44"/>
      <c r="R63" s="44"/>
      <c r="S63" s="44"/>
    </row>
    <row r="64" spans="1:21" ht="33.75" x14ac:dyDescent="0.2">
      <c r="A64" s="234"/>
      <c r="B64" s="212"/>
      <c r="C64" s="211"/>
      <c r="D64" s="10" t="s">
        <v>145</v>
      </c>
      <c r="E64" s="11">
        <v>44531</v>
      </c>
      <c r="F64" s="11">
        <v>44531</v>
      </c>
      <c r="G64" s="8"/>
      <c r="H64" s="32"/>
      <c r="I64" s="44"/>
      <c r="J64" s="44"/>
      <c r="K64" s="18"/>
      <c r="L64" s="18"/>
      <c r="M64" s="18"/>
      <c r="N64" s="18"/>
      <c r="O64" s="44"/>
      <c r="P64" s="18"/>
      <c r="Q64" s="44"/>
      <c r="R64" s="44"/>
      <c r="S64" s="44"/>
    </row>
    <row r="65" spans="1:21" ht="22.5" x14ac:dyDescent="0.2">
      <c r="A65" s="234"/>
      <c r="B65" s="212"/>
      <c r="C65" s="211" t="s">
        <v>43</v>
      </c>
      <c r="D65" s="10" t="s">
        <v>142</v>
      </c>
      <c r="E65" s="11">
        <v>44246</v>
      </c>
      <c r="F65" s="11">
        <v>44276</v>
      </c>
      <c r="G65" s="8"/>
      <c r="H65" s="32"/>
      <c r="I65" s="44"/>
      <c r="J65" s="44"/>
      <c r="K65" s="18"/>
      <c r="L65" s="18"/>
      <c r="M65" s="18"/>
      <c r="N65" s="18"/>
      <c r="O65" s="44"/>
      <c r="P65" s="18"/>
      <c r="Q65" s="44"/>
      <c r="R65" s="44"/>
      <c r="S65" s="44"/>
    </row>
    <row r="66" spans="1:21" ht="22.5" x14ac:dyDescent="0.2">
      <c r="A66" s="234"/>
      <c r="B66" s="212"/>
      <c r="C66" s="211"/>
      <c r="D66" s="10" t="s">
        <v>143</v>
      </c>
      <c r="E66" s="11">
        <v>44336</v>
      </c>
      <c r="F66" s="11">
        <v>44381</v>
      </c>
      <c r="G66" s="9">
        <v>750104</v>
      </c>
      <c r="H66" s="42">
        <v>22400</v>
      </c>
      <c r="I66" s="44"/>
      <c r="J66" s="128">
        <f>H66+I66</f>
        <v>22400</v>
      </c>
      <c r="K66" s="109" t="s">
        <v>494</v>
      </c>
      <c r="L66" s="18" t="s">
        <v>423</v>
      </c>
      <c r="M66" s="124">
        <v>44393</v>
      </c>
      <c r="N66" s="125" t="s">
        <v>399</v>
      </c>
      <c r="O66" s="44">
        <f>22400-2400-20000</f>
        <v>0</v>
      </c>
      <c r="P66" s="18">
        <v>5000002261</v>
      </c>
      <c r="Q66" s="44">
        <v>20000</v>
      </c>
      <c r="R66" s="44">
        <v>4807.07</v>
      </c>
      <c r="S66" s="44">
        <f>J66-O66-Q66</f>
        <v>2400</v>
      </c>
      <c r="T66" s="118"/>
      <c r="U66" s="118"/>
    </row>
    <row r="67" spans="1:21" ht="33.75" x14ac:dyDescent="0.2">
      <c r="A67" s="234"/>
      <c r="B67" s="212"/>
      <c r="C67" s="211"/>
      <c r="D67" s="10" t="s">
        <v>144</v>
      </c>
      <c r="E67" s="11">
        <v>44411</v>
      </c>
      <c r="F67" s="11">
        <v>44501</v>
      </c>
      <c r="G67" s="8"/>
      <c r="H67" s="32"/>
      <c r="I67" s="44"/>
      <c r="J67" s="44"/>
      <c r="K67" s="18"/>
      <c r="L67" s="18"/>
      <c r="M67" s="18"/>
      <c r="N67" s="18"/>
      <c r="O67" s="44"/>
      <c r="P67" s="18"/>
      <c r="Q67" s="44"/>
      <c r="R67" s="44"/>
      <c r="S67" s="44"/>
    </row>
    <row r="68" spans="1:21" ht="33.75" x14ac:dyDescent="0.2">
      <c r="A68" s="234"/>
      <c r="B68" s="212"/>
      <c r="C68" s="211"/>
      <c r="D68" s="10" t="s">
        <v>145</v>
      </c>
      <c r="E68" s="11">
        <v>44531</v>
      </c>
      <c r="F68" s="11">
        <v>44531</v>
      </c>
      <c r="G68" s="8"/>
      <c r="H68" s="32"/>
      <c r="I68" s="44"/>
      <c r="J68" s="44"/>
      <c r="K68" s="18"/>
      <c r="L68" s="18"/>
      <c r="M68" s="18"/>
      <c r="N68" s="18"/>
      <c r="O68" s="44"/>
      <c r="P68" s="18"/>
      <c r="Q68" s="44"/>
      <c r="R68" s="44"/>
      <c r="S68" s="44"/>
    </row>
    <row r="69" spans="1:21" ht="22.5" x14ac:dyDescent="0.2">
      <c r="A69" s="234"/>
      <c r="B69" s="212"/>
      <c r="C69" s="211" t="s">
        <v>44</v>
      </c>
      <c r="D69" s="10" t="s">
        <v>142</v>
      </c>
      <c r="E69" s="11">
        <v>44246</v>
      </c>
      <c r="F69" s="11">
        <v>44276</v>
      </c>
      <c r="G69" s="8"/>
      <c r="H69" s="32"/>
      <c r="I69" s="44"/>
      <c r="J69" s="44"/>
      <c r="K69" s="18"/>
      <c r="L69" s="18"/>
      <c r="M69" s="18"/>
      <c r="N69" s="18"/>
      <c r="O69" s="44"/>
      <c r="P69" s="18"/>
      <c r="Q69" s="44"/>
      <c r="R69" s="44"/>
      <c r="S69" s="44"/>
    </row>
    <row r="70" spans="1:21" ht="22.5" x14ac:dyDescent="0.2">
      <c r="A70" s="234"/>
      <c r="B70" s="212"/>
      <c r="C70" s="211"/>
      <c r="D70" s="10" t="s">
        <v>143</v>
      </c>
      <c r="E70" s="11">
        <v>44336</v>
      </c>
      <c r="F70" s="11">
        <v>44381</v>
      </c>
      <c r="G70" s="9">
        <v>750104</v>
      </c>
      <c r="H70" s="42">
        <v>32704</v>
      </c>
      <c r="I70" s="42"/>
      <c r="J70" s="128">
        <f>H70+I70</f>
        <v>32704</v>
      </c>
      <c r="K70" s="109" t="s">
        <v>494</v>
      </c>
      <c r="L70" s="18" t="s">
        <v>423</v>
      </c>
      <c r="M70" s="124">
        <v>44393</v>
      </c>
      <c r="N70" s="125" t="s">
        <v>399</v>
      </c>
      <c r="O70" s="44">
        <f>32704-3504-29200</f>
        <v>0</v>
      </c>
      <c r="P70" s="18">
        <v>5000002261</v>
      </c>
      <c r="Q70" s="44">
        <v>29200</v>
      </c>
      <c r="R70" s="44">
        <v>5723.6</v>
      </c>
      <c r="S70" s="44">
        <f>J70-O70-Q70</f>
        <v>3504</v>
      </c>
      <c r="T70" s="118"/>
      <c r="U70" s="118"/>
    </row>
    <row r="71" spans="1:21" ht="33.75" x14ac:dyDescent="0.2">
      <c r="A71" s="234"/>
      <c r="B71" s="212"/>
      <c r="C71" s="211"/>
      <c r="D71" s="10" t="s">
        <v>144</v>
      </c>
      <c r="E71" s="11">
        <v>44411</v>
      </c>
      <c r="F71" s="11">
        <v>44501</v>
      </c>
      <c r="G71" s="8"/>
      <c r="H71" s="32"/>
      <c r="I71" s="44"/>
      <c r="J71" s="44"/>
      <c r="K71" s="18"/>
      <c r="L71" s="18"/>
      <c r="M71" s="18"/>
      <c r="N71" s="18"/>
      <c r="O71" s="44"/>
      <c r="P71" s="18"/>
      <c r="Q71" s="44"/>
      <c r="R71" s="44"/>
      <c r="S71" s="44"/>
    </row>
    <row r="72" spans="1:21" ht="33.75" x14ac:dyDescent="0.2">
      <c r="A72" s="234"/>
      <c r="B72" s="212"/>
      <c r="C72" s="211"/>
      <c r="D72" s="10" t="s">
        <v>145</v>
      </c>
      <c r="E72" s="11">
        <v>44531</v>
      </c>
      <c r="F72" s="11">
        <v>44531</v>
      </c>
      <c r="G72" s="8"/>
      <c r="H72" s="32"/>
      <c r="I72" s="44"/>
      <c r="J72" s="44"/>
      <c r="K72" s="18"/>
      <c r="L72" s="18"/>
      <c r="M72" s="18"/>
      <c r="N72" s="18"/>
      <c r="O72" s="44"/>
      <c r="P72" s="18"/>
      <c r="Q72" s="44"/>
      <c r="R72" s="44"/>
      <c r="S72" s="44"/>
    </row>
    <row r="73" spans="1:21" ht="22.5" x14ac:dyDescent="0.2">
      <c r="A73" s="234"/>
      <c r="B73" s="212"/>
      <c r="C73" s="211" t="s">
        <v>45</v>
      </c>
      <c r="D73" s="10" t="s">
        <v>142</v>
      </c>
      <c r="E73" s="11">
        <v>44246</v>
      </c>
      <c r="F73" s="11">
        <v>44276</v>
      </c>
      <c r="G73" s="8"/>
      <c r="H73" s="32"/>
      <c r="I73" s="44"/>
      <c r="J73" s="44"/>
      <c r="K73" s="18"/>
      <c r="L73" s="18"/>
      <c r="M73" s="18"/>
      <c r="N73" s="18"/>
      <c r="O73" s="44"/>
      <c r="P73" s="18"/>
      <c r="Q73" s="44"/>
      <c r="R73" s="44"/>
      <c r="S73" s="44"/>
    </row>
    <row r="74" spans="1:21" ht="22.5" x14ac:dyDescent="0.2">
      <c r="A74" s="234"/>
      <c r="B74" s="212"/>
      <c r="C74" s="211"/>
      <c r="D74" s="10" t="s">
        <v>143</v>
      </c>
      <c r="E74" s="11">
        <v>44336</v>
      </c>
      <c r="F74" s="11">
        <v>44381</v>
      </c>
      <c r="G74" s="9">
        <v>750104</v>
      </c>
      <c r="H74" s="42">
        <v>5264</v>
      </c>
      <c r="I74" s="42"/>
      <c r="J74" s="128">
        <f>H74+I74</f>
        <v>5264</v>
      </c>
      <c r="K74" s="109" t="s">
        <v>494</v>
      </c>
      <c r="L74" s="18" t="s">
        <v>423</v>
      </c>
      <c r="M74" s="124">
        <v>44393</v>
      </c>
      <c r="N74" s="125" t="s">
        <v>399</v>
      </c>
      <c r="O74" s="44">
        <f>5264-564-4700</f>
        <v>0</v>
      </c>
      <c r="P74" s="18">
        <v>5000002261</v>
      </c>
      <c r="Q74" s="44">
        <v>4700</v>
      </c>
      <c r="R74" s="44">
        <v>4201.01</v>
      </c>
      <c r="S74" s="44">
        <f>J74-O74-Q74</f>
        <v>564</v>
      </c>
      <c r="T74" s="118"/>
      <c r="U74" s="118"/>
    </row>
    <row r="75" spans="1:21" ht="33.75" x14ac:dyDescent="0.2">
      <c r="A75" s="234"/>
      <c r="B75" s="212"/>
      <c r="C75" s="211"/>
      <c r="D75" s="10" t="s">
        <v>144</v>
      </c>
      <c r="E75" s="11">
        <v>44411</v>
      </c>
      <c r="F75" s="11">
        <v>44501</v>
      </c>
      <c r="G75" s="8"/>
      <c r="H75" s="32"/>
      <c r="I75" s="44"/>
      <c r="J75" s="44"/>
      <c r="K75" s="18"/>
      <c r="L75" s="18"/>
      <c r="M75" s="18"/>
      <c r="N75" s="18"/>
      <c r="O75" s="44"/>
      <c r="P75" s="18"/>
      <c r="Q75" s="44"/>
      <c r="R75" s="44"/>
      <c r="S75" s="44"/>
    </row>
    <row r="76" spans="1:21" ht="33.75" x14ac:dyDescent="0.2">
      <c r="A76" s="234"/>
      <c r="B76" s="212"/>
      <c r="C76" s="211"/>
      <c r="D76" s="10" t="s">
        <v>145</v>
      </c>
      <c r="E76" s="11">
        <v>44531</v>
      </c>
      <c r="F76" s="11">
        <v>44531</v>
      </c>
      <c r="G76" s="8"/>
      <c r="H76" s="32"/>
      <c r="I76" s="44"/>
      <c r="J76" s="44"/>
      <c r="K76" s="18"/>
      <c r="L76" s="18"/>
      <c r="M76" s="18"/>
      <c r="N76" s="18"/>
      <c r="O76" s="44"/>
      <c r="P76" s="18"/>
      <c r="Q76" s="44"/>
      <c r="R76" s="44"/>
      <c r="S76" s="44"/>
    </row>
    <row r="77" spans="1:21" ht="22.5" x14ac:dyDescent="0.2">
      <c r="A77" s="234"/>
      <c r="B77" s="212"/>
      <c r="C77" s="211" t="s">
        <v>46</v>
      </c>
      <c r="D77" s="10" t="s">
        <v>142</v>
      </c>
      <c r="E77" s="11">
        <v>44246</v>
      </c>
      <c r="F77" s="11">
        <v>44276</v>
      </c>
      <c r="G77" s="8"/>
      <c r="H77" s="32"/>
      <c r="I77" s="44"/>
      <c r="J77" s="44"/>
      <c r="K77" s="18"/>
      <c r="L77" s="18"/>
      <c r="M77" s="18"/>
      <c r="N77" s="18"/>
      <c r="O77" s="44"/>
      <c r="P77" s="18"/>
      <c r="Q77" s="44"/>
      <c r="R77" s="44"/>
      <c r="S77" s="44"/>
    </row>
    <row r="78" spans="1:21" ht="22.5" x14ac:dyDescent="0.2">
      <c r="A78" s="234"/>
      <c r="B78" s="212"/>
      <c r="C78" s="211"/>
      <c r="D78" s="10" t="s">
        <v>143</v>
      </c>
      <c r="E78" s="11">
        <v>44336</v>
      </c>
      <c r="F78" s="11">
        <v>44381</v>
      </c>
      <c r="G78" s="9">
        <v>750104</v>
      </c>
      <c r="H78" s="42">
        <v>12992</v>
      </c>
      <c r="I78" s="42"/>
      <c r="J78" s="128">
        <f>H78+I78</f>
        <v>12992</v>
      </c>
      <c r="K78" s="109" t="s">
        <v>494</v>
      </c>
      <c r="L78" s="18" t="s">
        <v>423</v>
      </c>
      <c r="M78" s="124">
        <v>44393</v>
      </c>
      <c r="N78" s="125" t="s">
        <v>399</v>
      </c>
      <c r="O78" s="44">
        <f>12992-1392-11600</f>
        <v>0</v>
      </c>
      <c r="P78" s="18">
        <v>5000002261</v>
      </c>
      <c r="Q78" s="44">
        <v>11600</v>
      </c>
      <c r="R78" s="44">
        <v>4043.77</v>
      </c>
      <c r="S78" s="44">
        <f>J78-O78-Q78</f>
        <v>1392</v>
      </c>
      <c r="T78" s="118"/>
      <c r="U78" s="118"/>
    </row>
    <row r="79" spans="1:21" ht="33.75" x14ac:dyDescent="0.2">
      <c r="A79" s="234"/>
      <c r="B79" s="212"/>
      <c r="C79" s="211"/>
      <c r="D79" s="10" t="s">
        <v>144</v>
      </c>
      <c r="E79" s="11">
        <v>44411</v>
      </c>
      <c r="F79" s="11">
        <v>44501</v>
      </c>
      <c r="G79" s="8"/>
      <c r="H79" s="32"/>
      <c r="I79" s="44"/>
      <c r="J79" s="44"/>
      <c r="K79" s="18"/>
      <c r="L79" s="18"/>
      <c r="M79" s="18"/>
      <c r="N79" s="18"/>
      <c r="O79" s="44"/>
      <c r="P79" s="18"/>
      <c r="Q79" s="44"/>
      <c r="R79" s="44"/>
      <c r="S79" s="44"/>
    </row>
    <row r="80" spans="1:21" ht="33.75" x14ac:dyDescent="0.2">
      <c r="A80" s="234"/>
      <c r="B80" s="212"/>
      <c r="C80" s="211"/>
      <c r="D80" s="10" t="s">
        <v>145</v>
      </c>
      <c r="E80" s="11">
        <v>44531</v>
      </c>
      <c r="F80" s="11">
        <v>44531</v>
      </c>
      <c r="G80" s="8"/>
      <c r="H80" s="32"/>
      <c r="I80" s="44"/>
      <c r="J80" s="44"/>
      <c r="K80" s="18"/>
      <c r="L80" s="18"/>
      <c r="M80" s="18"/>
      <c r="N80" s="18"/>
      <c r="O80" s="44"/>
      <c r="P80" s="18"/>
      <c r="Q80" s="44"/>
      <c r="R80" s="44"/>
      <c r="S80" s="44"/>
    </row>
    <row r="81" spans="1:21" ht="22.5" x14ac:dyDescent="0.2">
      <c r="A81" s="234"/>
      <c r="B81" s="212"/>
      <c r="C81" s="211" t="s">
        <v>47</v>
      </c>
      <c r="D81" s="10" t="s">
        <v>142</v>
      </c>
      <c r="E81" s="11">
        <v>44246</v>
      </c>
      <c r="F81" s="11">
        <v>44276</v>
      </c>
      <c r="G81" s="8"/>
      <c r="H81" s="32"/>
      <c r="I81" s="44"/>
      <c r="J81" s="44"/>
      <c r="K81" s="18"/>
      <c r="L81" s="18"/>
      <c r="M81" s="18"/>
      <c r="N81" s="18"/>
      <c r="O81" s="44"/>
      <c r="P81" s="18"/>
      <c r="Q81" s="44"/>
      <c r="R81" s="44"/>
      <c r="S81" s="44"/>
    </row>
    <row r="82" spans="1:21" ht="22.5" x14ac:dyDescent="0.2">
      <c r="A82" s="234"/>
      <c r="B82" s="212"/>
      <c r="C82" s="211"/>
      <c r="D82" s="10" t="s">
        <v>143</v>
      </c>
      <c r="E82" s="11">
        <v>44336</v>
      </c>
      <c r="F82" s="11">
        <v>44381</v>
      </c>
      <c r="G82" s="9">
        <v>750104</v>
      </c>
      <c r="H82" s="42">
        <v>5824</v>
      </c>
      <c r="I82" s="42"/>
      <c r="J82" s="128">
        <f>H82+I82</f>
        <v>5824</v>
      </c>
      <c r="K82" s="109" t="s">
        <v>494</v>
      </c>
      <c r="L82" s="18" t="s">
        <v>423</v>
      </c>
      <c r="M82" s="124">
        <v>44393</v>
      </c>
      <c r="N82" s="125" t="s">
        <v>399</v>
      </c>
      <c r="O82" s="44">
        <f>5824-624-5200</f>
        <v>0</v>
      </c>
      <c r="P82" s="18">
        <v>5000002261</v>
      </c>
      <c r="Q82" s="44">
        <v>5200</v>
      </c>
      <c r="R82" s="44">
        <v>4708.2700000000004</v>
      </c>
      <c r="S82" s="44">
        <f>J82-O82-Q82</f>
        <v>624</v>
      </c>
      <c r="T82" s="118"/>
      <c r="U82" s="118"/>
    </row>
    <row r="83" spans="1:21" ht="33.75" x14ac:dyDescent="0.2">
      <c r="A83" s="234"/>
      <c r="B83" s="212"/>
      <c r="C83" s="211"/>
      <c r="D83" s="10" t="s">
        <v>144</v>
      </c>
      <c r="E83" s="11">
        <v>44411</v>
      </c>
      <c r="F83" s="11">
        <v>44501</v>
      </c>
      <c r="G83" s="8"/>
      <c r="H83" s="32"/>
      <c r="I83" s="44"/>
      <c r="J83" s="44"/>
      <c r="K83" s="18"/>
      <c r="L83" s="18"/>
      <c r="M83" s="18"/>
      <c r="N83" s="18"/>
      <c r="O83" s="44"/>
      <c r="P83" s="18"/>
      <c r="Q83" s="44"/>
      <c r="R83" s="44"/>
      <c r="S83" s="44"/>
    </row>
    <row r="84" spans="1:21" ht="33.75" x14ac:dyDescent="0.2">
      <c r="A84" s="234"/>
      <c r="B84" s="212"/>
      <c r="C84" s="211"/>
      <c r="D84" s="10" t="s">
        <v>145</v>
      </c>
      <c r="E84" s="11">
        <v>44531</v>
      </c>
      <c r="F84" s="11">
        <v>44531</v>
      </c>
      <c r="G84" s="8"/>
      <c r="H84" s="32"/>
      <c r="I84" s="44"/>
      <c r="J84" s="44"/>
      <c r="K84" s="18"/>
      <c r="L84" s="18"/>
      <c r="M84" s="18"/>
      <c r="N84" s="18"/>
      <c r="O84" s="44"/>
      <c r="P84" s="18"/>
      <c r="Q84" s="44"/>
      <c r="R84" s="44"/>
      <c r="S84" s="44"/>
    </row>
    <row r="85" spans="1:21" ht="22.5" x14ac:dyDescent="0.2">
      <c r="A85" s="234"/>
      <c r="B85" s="212"/>
      <c r="C85" s="211" t="s">
        <v>48</v>
      </c>
      <c r="D85" s="10" t="s">
        <v>142</v>
      </c>
      <c r="E85" s="11">
        <v>44246</v>
      </c>
      <c r="F85" s="11">
        <v>44276</v>
      </c>
      <c r="G85" s="8"/>
      <c r="H85" s="32"/>
      <c r="I85" s="44"/>
      <c r="J85" s="44"/>
      <c r="K85" s="18"/>
      <c r="L85" s="18"/>
      <c r="M85" s="18"/>
      <c r="N85" s="18"/>
      <c r="O85" s="44"/>
      <c r="P85" s="18"/>
      <c r="Q85" s="44"/>
      <c r="R85" s="44"/>
      <c r="S85" s="44"/>
    </row>
    <row r="86" spans="1:21" ht="22.5" x14ac:dyDescent="0.2">
      <c r="A86" s="234"/>
      <c r="B86" s="212"/>
      <c r="C86" s="211"/>
      <c r="D86" s="10" t="s">
        <v>143</v>
      </c>
      <c r="E86" s="11">
        <v>44336</v>
      </c>
      <c r="F86" s="11">
        <v>44381</v>
      </c>
      <c r="G86" s="9">
        <v>750104</v>
      </c>
      <c r="H86" s="42">
        <v>30240</v>
      </c>
      <c r="I86" s="42"/>
      <c r="J86" s="128">
        <f>H86+I86</f>
        <v>30240</v>
      </c>
      <c r="K86" s="109" t="s">
        <v>494</v>
      </c>
      <c r="L86" s="18" t="s">
        <v>423</v>
      </c>
      <c r="M86" s="124">
        <v>44393</v>
      </c>
      <c r="N86" s="125" t="s">
        <v>399</v>
      </c>
      <c r="O86" s="44">
        <f>30240-3240-27000</f>
        <v>0</v>
      </c>
      <c r="P86" s="18">
        <v>5000002261</v>
      </c>
      <c r="Q86" s="44">
        <v>27000</v>
      </c>
      <c r="R86" s="44">
        <v>24052.49</v>
      </c>
      <c r="S86" s="44">
        <f>J86-O86-Q86</f>
        <v>3240</v>
      </c>
      <c r="T86" s="118"/>
      <c r="U86" s="118"/>
    </row>
    <row r="87" spans="1:21" ht="33.75" x14ac:dyDescent="0.2">
      <c r="A87" s="234"/>
      <c r="B87" s="212"/>
      <c r="C87" s="211"/>
      <c r="D87" s="10" t="s">
        <v>144</v>
      </c>
      <c r="E87" s="11">
        <v>44411</v>
      </c>
      <c r="F87" s="11">
        <v>44501</v>
      </c>
      <c r="G87" s="8"/>
      <c r="H87" s="32"/>
      <c r="I87" s="44"/>
      <c r="J87" s="44"/>
      <c r="K87" s="18"/>
      <c r="L87" s="18"/>
      <c r="M87" s="18"/>
      <c r="N87" s="18"/>
      <c r="O87" s="44"/>
      <c r="P87" s="18"/>
      <c r="Q87" s="44"/>
      <c r="R87" s="44"/>
      <c r="S87" s="44"/>
    </row>
    <row r="88" spans="1:21" ht="33.75" x14ac:dyDescent="0.2">
      <c r="A88" s="234"/>
      <c r="B88" s="212"/>
      <c r="C88" s="211"/>
      <c r="D88" s="10" t="s">
        <v>145</v>
      </c>
      <c r="E88" s="11">
        <v>44531</v>
      </c>
      <c r="F88" s="11">
        <v>44531</v>
      </c>
      <c r="G88" s="8"/>
      <c r="H88" s="32"/>
      <c r="I88" s="44"/>
      <c r="J88" s="44"/>
      <c r="K88" s="18"/>
      <c r="L88" s="18"/>
      <c r="M88" s="18"/>
      <c r="N88" s="18"/>
      <c r="O88" s="44"/>
      <c r="P88" s="18"/>
      <c r="Q88" s="44"/>
      <c r="R88" s="44"/>
      <c r="S88" s="44"/>
    </row>
    <row r="89" spans="1:21" ht="22.5" x14ac:dyDescent="0.2">
      <c r="A89" s="234"/>
      <c r="B89" s="212"/>
      <c r="C89" s="211" t="s">
        <v>49</v>
      </c>
      <c r="D89" s="10" t="s">
        <v>142</v>
      </c>
      <c r="E89" s="11">
        <v>44246</v>
      </c>
      <c r="F89" s="11">
        <v>44276</v>
      </c>
      <c r="G89" s="8"/>
      <c r="H89" s="32"/>
      <c r="I89" s="44"/>
      <c r="J89" s="44"/>
      <c r="K89" s="18"/>
      <c r="L89" s="18"/>
      <c r="M89" s="18"/>
      <c r="N89" s="18"/>
      <c r="O89" s="44"/>
      <c r="P89" s="18"/>
      <c r="Q89" s="44"/>
      <c r="R89" s="44"/>
      <c r="S89" s="44"/>
    </row>
    <row r="90" spans="1:21" ht="22.5" x14ac:dyDescent="0.2">
      <c r="A90" s="234"/>
      <c r="B90" s="212"/>
      <c r="C90" s="211"/>
      <c r="D90" s="10" t="s">
        <v>143</v>
      </c>
      <c r="E90" s="11">
        <v>44336</v>
      </c>
      <c r="F90" s="11">
        <v>44381</v>
      </c>
      <c r="G90" s="9">
        <v>750104</v>
      </c>
      <c r="H90" s="42">
        <v>10640</v>
      </c>
      <c r="I90" s="42"/>
      <c r="J90" s="128">
        <f>H90+I90</f>
        <v>10640</v>
      </c>
      <c r="K90" s="109" t="s">
        <v>494</v>
      </c>
      <c r="L90" s="18" t="s">
        <v>423</v>
      </c>
      <c r="M90" s="124">
        <v>44393</v>
      </c>
      <c r="N90" s="125" t="s">
        <v>399</v>
      </c>
      <c r="O90" s="44">
        <f>10640-1140-9500</f>
        <v>0</v>
      </c>
      <c r="P90" s="18">
        <v>5000002261</v>
      </c>
      <c r="Q90" s="44">
        <v>9500</v>
      </c>
      <c r="R90" s="44">
        <v>8860.91</v>
      </c>
      <c r="S90" s="44">
        <f>J90-O90-Q90</f>
        <v>1140</v>
      </c>
      <c r="T90" s="118"/>
      <c r="U90" s="118"/>
    </row>
    <row r="91" spans="1:21" ht="33.75" x14ac:dyDescent="0.2">
      <c r="A91" s="234"/>
      <c r="B91" s="212"/>
      <c r="C91" s="211"/>
      <c r="D91" s="10" t="s">
        <v>144</v>
      </c>
      <c r="E91" s="11">
        <v>44411</v>
      </c>
      <c r="F91" s="11">
        <v>44501</v>
      </c>
      <c r="G91" s="8"/>
      <c r="H91" s="32"/>
      <c r="I91" s="44"/>
      <c r="J91" s="44"/>
      <c r="K91" s="18"/>
      <c r="L91" s="18"/>
      <c r="M91" s="18"/>
      <c r="N91" s="18"/>
      <c r="O91" s="44"/>
      <c r="P91" s="18"/>
      <c r="Q91" s="44"/>
      <c r="R91" s="44"/>
      <c r="S91" s="44"/>
    </row>
    <row r="92" spans="1:21" ht="33.75" x14ac:dyDescent="0.2">
      <c r="A92" s="234"/>
      <c r="B92" s="212"/>
      <c r="C92" s="211"/>
      <c r="D92" s="10" t="s">
        <v>145</v>
      </c>
      <c r="E92" s="11">
        <v>44531</v>
      </c>
      <c r="F92" s="11">
        <v>44531</v>
      </c>
      <c r="G92" s="8"/>
      <c r="H92" s="32"/>
      <c r="I92" s="44"/>
      <c r="J92" s="44"/>
      <c r="K92" s="18"/>
      <c r="L92" s="18"/>
      <c r="M92" s="18"/>
      <c r="N92" s="18"/>
      <c r="O92" s="44"/>
      <c r="P92" s="18"/>
      <c r="Q92" s="44"/>
      <c r="R92" s="44"/>
      <c r="S92" s="44"/>
    </row>
    <row r="93" spans="1:21" ht="22.5" x14ac:dyDescent="0.2">
      <c r="A93" s="234"/>
      <c r="B93" s="212"/>
      <c r="C93" s="211" t="s">
        <v>50</v>
      </c>
      <c r="D93" s="10" t="s">
        <v>142</v>
      </c>
      <c r="E93" s="11">
        <v>44215</v>
      </c>
      <c r="F93" s="11">
        <v>44245</v>
      </c>
      <c r="G93" s="8"/>
      <c r="H93" s="32"/>
      <c r="I93" s="44"/>
      <c r="J93" s="44"/>
      <c r="K93" s="18"/>
      <c r="L93" s="18"/>
      <c r="M93" s="18"/>
      <c r="N93" s="18"/>
      <c r="O93" s="44"/>
      <c r="P93" s="18"/>
      <c r="Q93" s="44"/>
      <c r="R93" s="44"/>
      <c r="S93" s="44"/>
    </row>
    <row r="94" spans="1:21" ht="22.5" x14ac:dyDescent="0.2">
      <c r="A94" s="234"/>
      <c r="B94" s="212"/>
      <c r="C94" s="211"/>
      <c r="D94" s="10" t="s">
        <v>143</v>
      </c>
      <c r="E94" s="11">
        <v>44305</v>
      </c>
      <c r="F94" s="11">
        <v>44350</v>
      </c>
      <c r="G94" s="9">
        <v>750105</v>
      </c>
      <c r="H94" s="42">
        <v>18032</v>
      </c>
      <c r="I94" s="42"/>
      <c r="J94" s="128">
        <f>H94+I94</f>
        <v>18032</v>
      </c>
      <c r="K94" s="18" t="s">
        <v>481</v>
      </c>
      <c r="L94" s="18" t="s">
        <v>422</v>
      </c>
      <c r="M94" s="124">
        <v>44393</v>
      </c>
      <c r="N94" s="125" t="s">
        <v>398</v>
      </c>
      <c r="O94" s="44">
        <f>18032-1932-16100</f>
        <v>0</v>
      </c>
      <c r="P94" s="18">
        <v>5000002239</v>
      </c>
      <c r="Q94" s="44">
        <v>16100</v>
      </c>
      <c r="R94" s="44">
        <v>18740.23</v>
      </c>
      <c r="S94" s="44">
        <f>J94-O94-Q94</f>
        <v>1932</v>
      </c>
      <c r="T94" s="118"/>
      <c r="U94" s="118"/>
    </row>
    <row r="95" spans="1:21" ht="33.75" x14ac:dyDescent="0.2">
      <c r="A95" s="234"/>
      <c r="B95" s="212"/>
      <c r="C95" s="211"/>
      <c r="D95" s="10" t="s">
        <v>144</v>
      </c>
      <c r="E95" s="11">
        <v>44380</v>
      </c>
      <c r="F95" s="11">
        <v>44440</v>
      </c>
      <c r="G95" s="8"/>
      <c r="H95" s="32"/>
      <c r="I95" s="44"/>
      <c r="J95" s="44"/>
      <c r="K95" s="18"/>
      <c r="L95" s="18"/>
      <c r="M95" s="18"/>
      <c r="N95" s="18"/>
      <c r="O95" s="44"/>
      <c r="P95" s="18"/>
      <c r="Q95" s="44"/>
      <c r="R95" s="44"/>
      <c r="S95" s="44"/>
    </row>
    <row r="96" spans="1:21" ht="33.75" x14ac:dyDescent="0.2">
      <c r="A96" s="234"/>
      <c r="B96" s="212"/>
      <c r="C96" s="211"/>
      <c r="D96" s="10" t="s">
        <v>145</v>
      </c>
      <c r="E96" s="11">
        <v>44470</v>
      </c>
      <c r="F96" s="11">
        <v>44470</v>
      </c>
      <c r="G96" s="8"/>
      <c r="H96" s="32"/>
      <c r="I96" s="44"/>
      <c r="J96" s="44"/>
      <c r="K96" s="18"/>
      <c r="L96" s="18"/>
      <c r="M96" s="18"/>
      <c r="N96" s="18"/>
      <c r="O96" s="44"/>
      <c r="P96" s="18"/>
      <c r="Q96" s="44"/>
      <c r="R96" s="44"/>
      <c r="S96" s="44"/>
    </row>
    <row r="97" spans="1:21" ht="22.5" x14ac:dyDescent="0.2">
      <c r="A97" s="234"/>
      <c r="B97" s="212"/>
      <c r="C97" s="211" t="s">
        <v>51</v>
      </c>
      <c r="D97" s="10" t="s">
        <v>142</v>
      </c>
      <c r="E97" s="11">
        <v>44231</v>
      </c>
      <c r="F97" s="11">
        <v>44261</v>
      </c>
      <c r="G97" s="8"/>
      <c r="H97" s="32"/>
      <c r="I97" s="44"/>
      <c r="J97" s="44"/>
      <c r="K97" s="18"/>
      <c r="L97" s="18"/>
      <c r="M97" s="18"/>
      <c r="N97" s="18"/>
      <c r="O97" s="44"/>
      <c r="P97" s="18"/>
      <c r="Q97" s="44"/>
      <c r="R97" s="44"/>
      <c r="S97" s="44"/>
    </row>
    <row r="98" spans="1:21" ht="22.5" x14ac:dyDescent="0.2">
      <c r="A98" s="234"/>
      <c r="B98" s="212"/>
      <c r="C98" s="211"/>
      <c r="D98" s="10" t="s">
        <v>143</v>
      </c>
      <c r="E98" s="11">
        <v>44321</v>
      </c>
      <c r="F98" s="11">
        <v>44366</v>
      </c>
      <c r="G98" s="9">
        <v>750105</v>
      </c>
      <c r="H98" s="42">
        <v>32720</v>
      </c>
      <c r="I98" s="42"/>
      <c r="J98" s="128">
        <f>H98+I98</f>
        <v>32720</v>
      </c>
      <c r="K98" s="18" t="s">
        <v>508</v>
      </c>
      <c r="L98" s="18" t="s">
        <v>511</v>
      </c>
      <c r="M98" s="124">
        <v>44470</v>
      </c>
      <c r="N98" s="125" t="s">
        <v>461</v>
      </c>
      <c r="O98" s="44">
        <f>29214.29-29214.29</f>
        <v>0</v>
      </c>
      <c r="P98" s="18">
        <v>5000002281</v>
      </c>
      <c r="Q98" s="44">
        <v>29214.29</v>
      </c>
      <c r="R98" s="44"/>
      <c r="S98" s="44">
        <f>J98-O98-Q98</f>
        <v>3505.7099999999991</v>
      </c>
      <c r="T98" s="118"/>
    </row>
    <row r="99" spans="1:21" ht="33.75" x14ac:dyDescent="0.2">
      <c r="A99" s="234"/>
      <c r="B99" s="212"/>
      <c r="C99" s="211"/>
      <c r="D99" s="10" t="s">
        <v>144</v>
      </c>
      <c r="E99" s="11">
        <v>44396</v>
      </c>
      <c r="F99" s="11">
        <v>44456</v>
      </c>
      <c r="G99" s="8"/>
      <c r="H99" s="32"/>
      <c r="I99" s="44"/>
      <c r="J99" s="44"/>
      <c r="K99" s="18"/>
      <c r="L99" s="18"/>
      <c r="M99" s="18"/>
      <c r="N99" s="18"/>
      <c r="O99" s="44"/>
      <c r="P99" s="18"/>
      <c r="Q99" s="44"/>
      <c r="R99" s="44"/>
      <c r="S99" s="44"/>
    </row>
    <row r="100" spans="1:21" ht="33.75" x14ac:dyDescent="0.2">
      <c r="A100" s="234"/>
      <c r="B100" s="212"/>
      <c r="C100" s="211"/>
      <c r="D100" s="10" t="s">
        <v>145</v>
      </c>
      <c r="E100" s="11">
        <v>44470</v>
      </c>
      <c r="F100" s="11">
        <v>44486</v>
      </c>
      <c r="G100" s="8"/>
      <c r="H100" s="32"/>
      <c r="I100" s="44"/>
      <c r="J100" s="44"/>
      <c r="K100" s="18"/>
      <c r="L100" s="18"/>
      <c r="M100" s="18"/>
      <c r="N100" s="18"/>
      <c r="O100" s="44"/>
      <c r="P100" s="18"/>
      <c r="Q100" s="44"/>
      <c r="R100" s="44"/>
      <c r="S100" s="44"/>
    </row>
    <row r="101" spans="1:21" ht="22.5" x14ac:dyDescent="0.2">
      <c r="A101" s="234"/>
      <c r="B101" s="212"/>
      <c r="C101" s="211" t="s">
        <v>52</v>
      </c>
      <c r="D101" s="10" t="s">
        <v>142</v>
      </c>
      <c r="E101" s="11">
        <v>44231</v>
      </c>
      <c r="F101" s="11">
        <v>44261</v>
      </c>
      <c r="G101" s="8"/>
      <c r="H101" s="32"/>
      <c r="I101" s="44"/>
      <c r="J101" s="44"/>
      <c r="K101" s="18"/>
      <c r="L101" s="18"/>
      <c r="M101" s="18"/>
      <c r="N101" s="18"/>
      <c r="O101" s="44"/>
      <c r="P101" s="18"/>
      <c r="Q101" s="44"/>
      <c r="R101" s="44"/>
      <c r="S101" s="44"/>
    </row>
    <row r="102" spans="1:21" ht="22.5" x14ac:dyDescent="0.2">
      <c r="A102" s="234"/>
      <c r="B102" s="212"/>
      <c r="C102" s="211"/>
      <c r="D102" s="10" t="s">
        <v>143</v>
      </c>
      <c r="E102" s="11">
        <v>44321</v>
      </c>
      <c r="F102" s="11">
        <v>44366</v>
      </c>
      <c r="G102" s="9">
        <v>750105</v>
      </c>
      <c r="H102" s="129">
        <v>76501.039999999994</v>
      </c>
      <c r="I102" s="42"/>
      <c r="J102" s="128">
        <f>H102+I102</f>
        <v>76501.039999999994</v>
      </c>
      <c r="K102" s="109" t="s">
        <v>509</v>
      </c>
      <c r="L102" s="18" t="s">
        <v>510</v>
      </c>
      <c r="M102" s="124">
        <v>44470</v>
      </c>
      <c r="N102" s="125" t="s">
        <v>463</v>
      </c>
      <c r="O102" s="44">
        <f>68304.5-68304.5</f>
        <v>0</v>
      </c>
      <c r="P102" s="18">
        <v>5000002279</v>
      </c>
      <c r="Q102" s="44">
        <v>68304.5</v>
      </c>
      <c r="R102" s="44"/>
      <c r="S102" s="44">
        <f>J102-O102-Q102</f>
        <v>8196.5399999999936</v>
      </c>
      <c r="T102" s="118"/>
    </row>
    <row r="103" spans="1:21" ht="33.75" x14ac:dyDescent="0.2">
      <c r="A103" s="234"/>
      <c r="B103" s="212"/>
      <c r="C103" s="211"/>
      <c r="D103" s="10" t="s">
        <v>144</v>
      </c>
      <c r="E103" s="11">
        <v>44396</v>
      </c>
      <c r="F103" s="11">
        <v>44456</v>
      </c>
      <c r="G103" s="8"/>
      <c r="H103" s="32"/>
      <c r="I103" s="44"/>
      <c r="J103" s="44"/>
      <c r="K103" s="18"/>
      <c r="L103" s="18"/>
      <c r="M103" s="18"/>
      <c r="N103" s="18"/>
      <c r="O103" s="44"/>
      <c r="P103" s="18"/>
      <c r="Q103" s="44"/>
      <c r="R103" s="44"/>
      <c r="S103" s="44"/>
    </row>
    <row r="104" spans="1:21" ht="33.75" x14ac:dyDescent="0.2">
      <c r="A104" s="234"/>
      <c r="B104" s="212"/>
      <c r="C104" s="211"/>
      <c r="D104" s="10" t="s">
        <v>145</v>
      </c>
      <c r="E104" s="11">
        <v>44486</v>
      </c>
      <c r="F104" s="11">
        <v>44486</v>
      </c>
      <c r="G104" s="8"/>
      <c r="H104" s="32"/>
      <c r="I104" s="44"/>
      <c r="J104" s="44"/>
      <c r="K104" s="18"/>
      <c r="L104" s="18"/>
      <c r="M104" s="18"/>
      <c r="N104" s="18"/>
      <c r="O104" s="44"/>
      <c r="P104" s="18"/>
      <c r="Q104" s="44"/>
      <c r="R104" s="44"/>
      <c r="S104" s="44"/>
    </row>
    <row r="105" spans="1:21" ht="22.5" x14ac:dyDescent="0.2">
      <c r="A105" s="234"/>
      <c r="B105" s="212"/>
      <c r="C105" s="211" t="s">
        <v>53</v>
      </c>
      <c r="D105" s="10" t="s">
        <v>142</v>
      </c>
      <c r="E105" s="11">
        <v>44231</v>
      </c>
      <c r="F105" s="11">
        <v>44261</v>
      </c>
      <c r="G105" s="8"/>
      <c r="H105" s="32"/>
      <c r="I105" s="44"/>
      <c r="J105" s="44"/>
      <c r="K105" s="18"/>
      <c r="L105" s="18"/>
      <c r="M105" s="18"/>
      <c r="N105" s="18"/>
      <c r="O105" s="44"/>
      <c r="P105" s="18"/>
      <c r="Q105" s="44"/>
      <c r="R105" s="44"/>
      <c r="S105" s="44"/>
    </row>
    <row r="106" spans="1:21" ht="21.75" customHeight="1" x14ac:dyDescent="0.2">
      <c r="A106" s="234"/>
      <c r="B106" s="212"/>
      <c r="C106" s="211"/>
      <c r="D106" s="10" t="s">
        <v>143</v>
      </c>
      <c r="E106" s="11">
        <v>44321</v>
      </c>
      <c r="F106" s="11">
        <v>44366</v>
      </c>
      <c r="G106" s="9">
        <v>750105</v>
      </c>
      <c r="H106" s="129">
        <v>22848</v>
      </c>
      <c r="I106" s="42"/>
      <c r="J106" s="128">
        <f>H106+I106</f>
        <v>22848</v>
      </c>
      <c r="K106" s="109" t="s">
        <v>477</v>
      </c>
      <c r="L106" s="18" t="s">
        <v>427</v>
      </c>
      <c r="M106" s="124">
        <v>44399</v>
      </c>
      <c r="N106" s="125" t="s">
        <v>415</v>
      </c>
      <c r="O106" s="44">
        <f>22848-2448-20400</f>
        <v>0</v>
      </c>
      <c r="P106" s="18">
        <v>5000002237</v>
      </c>
      <c r="Q106" s="44">
        <v>20400</v>
      </c>
      <c r="R106" s="44">
        <f>38903.67+19579.57</f>
        <v>58483.24</v>
      </c>
      <c r="S106" s="44">
        <f>J106-O106-Q106</f>
        <v>2448</v>
      </c>
      <c r="T106" s="118"/>
      <c r="U106" s="118"/>
    </row>
    <row r="107" spans="1:21" ht="33.75" x14ac:dyDescent="0.2">
      <c r="A107" s="234"/>
      <c r="B107" s="212"/>
      <c r="C107" s="211"/>
      <c r="D107" s="10" t="s">
        <v>144</v>
      </c>
      <c r="E107" s="11">
        <v>44396</v>
      </c>
      <c r="F107" s="11">
        <v>44456</v>
      </c>
      <c r="G107" s="8"/>
      <c r="H107" s="32"/>
      <c r="I107" s="44"/>
      <c r="J107" s="44"/>
      <c r="K107" s="18"/>
      <c r="L107" s="18"/>
      <c r="M107" s="18"/>
      <c r="N107" s="18"/>
      <c r="O107" s="44"/>
      <c r="P107" s="18"/>
      <c r="Q107" s="44"/>
      <c r="R107" s="44"/>
      <c r="S107" s="44"/>
    </row>
    <row r="108" spans="1:21" ht="33.75" x14ac:dyDescent="0.2">
      <c r="A108" s="234"/>
      <c r="B108" s="212"/>
      <c r="C108" s="211"/>
      <c r="D108" s="10" t="s">
        <v>145</v>
      </c>
      <c r="E108" s="11">
        <v>44486</v>
      </c>
      <c r="F108" s="11">
        <v>44486</v>
      </c>
      <c r="G108" s="8"/>
      <c r="H108" s="32"/>
      <c r="I108" s="44"/>
      <c r="J108" s="44"/>
      <c r="K108" s="18"/>
      <c r="L108" s="18"/>
      <c r="M108" s="18"/>
      <c r="N108" s="18"/>
      <c r="O108" s="44"/>
      <c r="P108" s="18"/>
      <c r="Q108" s="44"/>
      <c r="R108" s="44"/>
      <c r="S108" s="44"/>
    </row>
    <row r="109" spans="1:21" ht="22.5" x14ac:dyDescent="0.2">
      <c r="A109" s="234"/>
      <c r="B109" s="212"/>
      <c r="C109" s="211" t="s">
        <v>54</v>
      </c>
      <c r="D109" s="10" t="s">
        <v>142</v>
      </c>
      <c r="E109" s="11">
        <v>44231</v>
      </c>
      <c r="F109" s="11">
        <v>44261</v>
      </c>
      <c r="G109" s="8"/>
      <c r="H109" s="32"/>
      <c r="I109" s="44"/>
      <c r="J109" s="44"/>
      <c r="K109" s="18"/>
      <c r="L109" s="18"/>
      <c r="M109" s="18"/>
      <c r="N109" s="18"/>
      <c r="O109" s="44"/>
      <c r="P109" s="18"/>
      <c r="Q109" s="44"/>
      <c r="R109" s="44"/>
      <c r="S109" s="44"/>
    </row>
    <row r="110" spans="1:21" ht="22.5" x14ac:dyDescent="0.2">
      <c r="A110" s="234"/>
      <c r="B110" s="212"/>
      <c r="C110" s="211"/>
      <c r="D110" s="10" t="s">
        <v>143</v>
      </c>
      <c r="E110" s="11">
        <v>44321</v>
      </c>
      <c r="F110" s="11">
        <v>44366</v>
      </c>
      <c r="G110" s="9">
        <v>750105</v>
      </c>
      <c r="H110" s="129">
        <v>11200</v>
      </c>
      <c r="I110" s="42"/>
      <c r="J110" s="128">
        <f>H110+I110</f>
        <v>11200</v>
      </c>
      <c r="K110" s="109" t="s">
        <v>477</v>
      </c>
      <c r="L110" s="18" t="s">
        <v>427</v>
      </c>
      <c r="M110" s="124">
        <v>44399</v>
      </c>
      <c r="N110" s="125" t="s">
        <v>415</v>
      </c>
      <c r="O110" s="44">
        <f>11200-1200-10000</f>
        <v>0</v>
      </c>
      <c r="P110" s="18">
        <v>5000002237</v>
      </c>
      <c r="Q110" s="44">
        <v>10000</v>
      </c>
      <c r="R110" s="44">
        <f>11551.32+2476.69</f>
        <v>14028.01</v>
      </c>
      <c r="S110" s="44">
        <f>J110-O110-Q110</f>
        <v>1200</v>
      </c>
      <c r="T110" s="118"/>
      <c r="U110" s="118"/>
    </row>
    <row r="111" spans="1:21" ht="33.75" x14ac:dyDescent="0.2">
      <c r="A111" s="234"/>
      <c r="B111" s="212"/>
      <c r="C111" s="211"/>
      <c r="D111" s="10" t="s">
        <v>144</v>
      </c>
      <c r="E111" s="11">
        <v>44396</v>
      </c>
      <c r="F111" s="11">
        <v>44456</v>
      </c>
      <c r="G111" s="8"/>
      <c r="H111" s="32"/>
      <c r="I111" s="44"/>
      <c r="J111" s="44"/>
      <c r="K111" s="18"/>
      <c r="L111" s="18"/>
      <c r="M111" s="18"/>
      <c r="N111" s="18"/>
      <c r="O111" s="44"/>
      <c r="P111" s="18"/>
      <c r="Q111" s="44"/>
      <c r="R111" s="44"/>
      <c r="S111" s="44"/>
    </row>
    <row r="112" spans="1:21" ht="33.75" x14ac:dyDescent="0.2">
      <c r="A112" s="234"/>
      <c r="B112" s="212"/>
      <c r="C112" s="211"/>
      <c r="D112" s="10" t="s">
        <v>145</v>
      </c>
      <c r="E112" s="11">
        <v>44486</v>
      </c>
      <c r="F112" s="11">
        <v>44486</v>
      </c>
      <c r="G112" s="8"/>
      <c r="H112" s="32"/>
      <c r="I112" s="44"/>
      <c r="J112" s="44"/>
      <c r="K112" s="18"/>
      <c r="L112" s="18"/>
      <c r="M112" s="18"/>
      <c r="N112" s="18"/>
      <c r="O112" s="44"/>
      <c r="P112" s="18"/>
      <c r="Q112" s="44"/>
      <c r="R112" s="44"/>
      <c r="S112" s="44"/>
    </row>
    <row r="113" spans="1:21" ht="22.5" x14ac:dyDescent="0.2">
      <c r="A113" s="234"/>
      <c r="B113" s="212"/>
      <c r="C113" s="211" t="s">
        <v>55</v>
      </c>
      <c r="D113" s="10" t="s">
        <v>142</v>
      </c>
      <c r="E113" s="11">
        <v>44231</v>
      </c>
      <c r="F113" s="11">
        <v>44261</v>
      </c>
      <c r="G113" s="8"/>
      <c r="H113" s="32"/>
      <c r="I113" s="44"/>
      <c r="J113" s="44"/>
      <c r="K113" s="18"/>
      <c r="L113" s="18"/>
      <c r="M113" s="18"/>
      <c r="N113" s="18"/>
      <c r="O113" s="44"/>
      <c r="P113" s="18"/>
      <c r="Q113" s="44"/>
      <c r="R113" s="44"/>
      <c r="S113" s="44"/>
    </row>
    <row r="114" spans="1:21" ht="22.5" x14ac:dyDescent="0.2">
      <c r="A114" s="234"/>
      <c r="B114" s="212"/>
      <c r="C114" s="211"/>
      <c r="D114" s="10" t="s">
        <v>143</v>
      </c>
      <c r="E114" s="11">
        <v>44321</v>
      </c>
      <c r="F114" s="11">
        <v>44366</v>
      </c>
      <c r="G114" s="9">
        <v>750104</v>
      </c>
      <c r="H114" s="42">
        <v>24640</v>
      </c>
      <c r="I114" s="42"/>
      <c r="J114" s="128">
        <f>H114+I114</f>
        <v>24640</v>
      </c>
      <c r="K114" s="109" t="s">
        <v>509</v>
      </c>
      <c r="L114" s="18" t="s">
        <v>510</v>
      </c>
      <c r="M114" s="124">
        <v>44470</v>
      </c>
      <c r="N114" s="125" t="s">
        <v>465</v>
      </c>
      <c r="O114" s="44">
        <f>22000-22000</f>
        <v>0</v>
      </c>
      <c r="P114" s="18">
        <v>5000002277</v>
      </c>
      <c r="Q114" s="44">
        <v>22000</v>
      </c>
      <c r="R114" s="44"/>
      <c r="S114" s="44">
        <f>J114-O114-Q114</f>
        <v>2640</v>
      </c>
      <c r="T114" s="118"/>
    </row>
    <row r="115" spans="1:21" ht="33.75" x14ac:dyDescent="0.2">
      <c r="A115" s="234"/>
      <c r="B115" s="212"/>
      <c r="C115" s="211"/>
      <c r="D115" s="10" t="s">
        <v>144</v>
      </c>
      <c r="E115" s="11">
        <v>44396</v>
      </c>
      <c r="F115" s="11">
        <v>44486</v>
      </c>
      <c r="G115" s="8"/>
      <c r="H115" s="32"/>
      <c r="I115" s="44"/>
      <c r="J115" s="44"/>
      <c r="K115" s="18"/>
      <c r="L115" s="18"/>
      <c r="M115" s="18"/>
      <c r="N115" s="18"/>
      <c r="O115" s="44"/>
      <c r="P115" s="18"/>
      <c r="Q115" s="44"/>
      <c r="R115" s="44"/>
      <c r="S115" s="44"/>
    </row>
    <row r="116" spans="1:21" ht="33.75" x14ac:dyDescent="0.2">
      <c r="A116" s="234"/>
      <c r="B116" s="212"/>
      <c r="C116" s="211"/>
      <c r="D116" s="10" t="s">
        <v>145</v>
      </c>
      <c r="E116" s="11">
        <v>44516</v>
      </c>
      <c r="F116" s="11">
        <v>44516</v>
      </c>
      <c r="G116" s="8"/>
      <c r="H116" s="32"/>
      <c r="I116" s="44"/>
      <c r="J116" s="44"/>
      <c r="K116" s="18"/>
      <c r="L116" s="18"/>
      <c r="M116" s="18"/>
      <c r="N116" s="18"/>
      <c r="O116" s="44"/>
      <c r="P116" s="18"/>
      <c r="Q116" s="44"/>
      <c r="R116" s="44"/>
      <c r="S116" s="44"/>
    </row>
    <row r="117" spans="1:21" ht="22.5" x14ac:dyDescent="0.2">
      <c r="A117" s="234"/>
      <c r="B117" s="212"/>
      <c r="C117" s="211" t="s">
        <v>56</v>
      </c>
      <c r="D117" s="10" t="s">
        <v>142</v>
      </c>
      <c r="E117" s="11">
        <v>44231</v>
      </c>
      <c r="F117" s="11">
        <v>44261</v>
      </c>
      <c r="G117" s="8"/>
      <c r="H117" s="32"/>
      <c r="I117" s="44"/>
      <c r="J117" s="44"/>
      <c r="K117" s="18"/>
      <c r="L117" s="18"/>
      <c r="M117" s="18"/>
      <c r="N117" s="18"/>
      <c r="O117" s="44"/>
      <c r="P117" s="18"/>
      <c r="Q117" s="44"/>
      <c r="R117" s="44"/>
      <c r="S117" s="44"/>
    </row>
    <row r="118" spans="1:21" ht="22.5" x14ac:dyDescent="0.2">
      <c r="A118" s="234"/>
      <c r="B118" s="212"/>
      <c r="C118" s="211"/>
      <c r="D118" s="10" t="s">
        <v>143</v>
      </c>
      <c r="E118" s="11">
        <v>44321</v>
      </c>
      <c r="F118" s="11">
        <v>44366</v>
      </c>
      <c r="G118" s="9">
        <v>750105</v>
      </c>
      <c r="H118" s="129">
        <v>62200.56</v>
      </c>
      <c r="I118" s="42"/>
      <c r="J118" s="128">
        <f>H118+I118</f>
        <v>62200.56</v>
      </c>
      <c r="K118" s="109" t="s">
        <v>477</v>
      </c>
      <c r="L118" s="18" t="s">
        <v>427</v>
      </c>
      <c r="M118" s="124">
        <v>44399</v>
      </c>
      <c r="N118" s="125" t="s">
        <v>415</v>
      </c>
      <c r="O118" s="44">
        <f>62200.56-6664.35-55536.21</f>
        <v>0</v>
      </c>
      <c r="P118" s="18">
        <v>5000002237</v>
      </c>
      <c r="Q118" s="44">
        <v>55536.21</v>
      </c>
      <c r="R118" s="44">
        <f>348.1+12960.04</f>
        <v>13308.140000000001</v>
      </c>
      <c r="S118" s="44">
        <f>J118-O118-Q118</f>
        <v>6664.3499999999985</v>
      </c>
      <c r="T118" s="118"/>
      <c r="U118" s="118"/>
    </row>
    <row r="119" spans="1:21" ht="33.75" x14ac:dyDescent="0.2">
      <c r="A119" s="234"/>
      <c r="B119" s="212"/>
      <c r="C119" s="211"/>
      <c r="D119" s="10" t="s">
        <v>144</v>
      </c>
      <c r="E119" s="11">
        <v>44396</v>
      </c>
      <c r="F119" s="11">
        <v>44456</v>
      </c>
      <c r="G119" s="8"/>
      <c r="H119" s="32"/>
      <c r="I119" s="44"/>
      <c r="J119" s="44"/>
      <c r="K119" s="18"/>
      <c r="L119" s="18"/>
      <c r="M119" s="18"/>
      <c r="N119" s="18"/>
      <c r="O119" s="44"/>
      <c r="P119" s="18"/>
      <c r="Q119" s="44"/>
      <c r="R119" s="44"/>
      <c r="S119" s="44"/>
    </row>
    <row r="120" spans="1:21" ht="33.75" x14ac:dyDescent="0.2">
      <c r="A120" s="234"/>
      <c r="B120" s="212"/>
      <c r="C120" s="211"/>
      <c r="D120" s="10" t="s">
        <v>145</v>
      </c>
      <c r="E120" s="11">
        <v>44486</v>
      </c>
      <c r="F120" s="11">
        <v>44486</v>
      </c>
      <c r="G120" s="8"/>
      <c r="H120" s="32"/>
      <c r="I120" s="44"/>
      <c r="J120" s="44"/>
      <c r="K120" s="18"/>
      <c r="L120" s="18"/>
      <c r="M120" s="18"/>
      <c r="N120" s="18"/>
      <c r="O120" s="44"/>
      <c r="P120" s="18"/>
      <c r="Q120" s="44"/>
      <c r="R120" s="44"/>
      <c r="S120" s="44"/>
    </row>
    <row r="121" spans="1:21" ht="22.5" x14ac:dyDescent="0.2">
      <c r="A121" s="234"/>
      <c r="B121" s="212"/>
      <c r="C121" s="211" t="s">
        <v>57</v>
      </c>
      <c r="D121" s="10" t="s">
        <v>142</v>
      </c>
      <c r="E121" s="11">
        <v>44231</v>
      </c>
      <c r="F121" s="11">
        <v>44261</v>
      </c>
      <c r="G121" s="8"/>
      <c r="H121" s="32"/>
      <c r="I121" s="44"/>
      <c r="J121" s="44"/>
      <c r="K121" s="18"/>
      <c r="L121" s="18"/>
      <c r="M121" s="18"/>
      <c r="N121" s="18"/>
      <c r="O121" s="44"/>
      <c r="P121" s="18"/>
      <c r="Q121" s="44"/>
      <c r="R121" s="44"/>
      <c r="S121" s="44"/>
    </row>
    <row r="122" spans="1:21" ht="22.5" x14ac:dyDescent="0.2">
      <c r="A122" s="234"/>
      <c r="B122" s="212"/>
      <c r="C122" s="211"/>
      <c r="D122" s="10" t="s">
        <v>143</v>
      </c>
      <c r="E122" s="11">
        <v>44321</v>
      </c>
      <c r="F122" s="11">
        <v>44366</v>
      </c>
      <c r="G122" s="9">
        <v>750104</v>
      </c>
      <c r="H122" s="42">
        <v>44800</v>
      </c>
      <c r="I122" s="42"/>
      <c r="J122" s="128">
        <f>H122+I122</f>
        <v>44800</v>
      </c>
      <c r="K122" s="109" t="s">
        <v>477</v>
      </c>
      <c r="L122" s="18" t="s">
        <v>427</v>
      </c>
      <c r="M122" s="124">
        <v>44399</v>
      </c>
      <c r="N122" s="125" t="s">
        <v>416</v>
      </c>
      <c r="O122" s="44">
        <f>44800-4800-40000</f>
        <v>0</v>
      </c>
      <c r="P122" s="18">
        <v>5000002236</v>
      </c>
      <c r="Q122" s="44">
        <v>40000</v>
      </c>
      <c r="R122" s="44">
        <f>40136.89+6206.25</f>
        <v>46343.14</v>
      </c>
      <c r="S122" s="44">
        <f>J122-O122-Q122</f>
        <v>4800</v>
      </c>
      <c r="T122" s="118"/>
      <c r="U122" s="118"/>
    </row>
    <row r="123" spans="1:21" ht="33.75" x14ac:dyDescent="0.2">
      <c r="A123" s="234"/>
      <c r="B123" s="212"/>
      <c r="C123" s="211"/>
      <c r="D123" s="10" t="s">
        <v>144</v>
      </c>
      <c r="E123" s="11">
        <v>44396</v>
      </c>
      <c r="F123" s="11">
        <v>44486</v>
      </c>
      <c r="G123" s="8"/>
      <c r="H123" s="32"/>
      <c r="I123" s="44"/>
      <c r="J123" s="44"/>
      <c r="K123" s="18"/>
      <c r="L123" s="18"/>
      <c r="M123" s="18"/>
      <c r="N123" s="18"/>
      <c r="O123" s="44"/>
      <c r="P123" s="18"/>
      <c r="Q123" s="44"/>
      <c r="R123" s="44"/>
      <c r="S123" s="44"/>
    </row>
    <row r="124" spans="1:21" ht="33.75" x14ac:dyDescent="0.2">
      <c r="A124" s="234"/>
      <c r="B124" s="212"/>
      <c r="C124" s="211"/>
      <c r="D124" s="10" t="s">
        <v>145</v>
      </c>
      <c r="E124" s="11">
        <v>44516</v>
      </c>
      <c r="F124" s="11">
        <v>44516</v>
      </c>
      <c r="G124" s="8"/>
      <c r="H124" s="32"/>
      <c r="I124" s="44"/>
      <c r="J124" s="44"/>
      <c r="K124" s="18"/>
      <c r="L124" s="18"/>
      <c r="M124" s="18"/>
      <c r="N124" s="18"/>
      <c r="O124" s="44"/>
      <c r="P124" s="18"/>
      <c r="Q124" s="44"/>
      <c r="R124" s="44"/>
      <c r="S124" s="44"/>
    </row>
    <row r="125" spans="1:21" ht="22.5" x14ac:dyDescent="0.2">
      <c r="A125" s="234"/>
      <c r="B125" s="212"/>
      <c r="C125" s="211" t="s">
        <v>58</v>
      </c>
      <c r="D125" s="10" t="s">
        <v>142</v>
      </c>
      <c r="E125" s="11">
        <v>44231</v>
      </c>
      <c r="F125" s="11">
        <v>44261</v>
      </c>
      <c r="G125" s="8"/>
      <c r="H125" s="32"/>
      <c r="I125" s="44"/>
      <c r="J125" s="44"/>
      <c r="K125" s="18"/>
      <c r="L125" s="18"/>
      <c r="M125" s="18"/>
      <c r="N125" s="18"/>
      <c r="O125" s="44"/>
      <c r="P125" s="18"/>
      <c r="Q125" s="44"/>
      <c r="R125" s="44"/>
      <c r="S125" s="44"/>
    </row>
    <row r="126" spans="1:21" ht="22.5" x14ac:dyDescent="0.2">
      <c r="A126" s="234"/>
      <c r="B126" s="212"/>
      <c r="C126" s="211"/>
      <c r="D126" s="10" t="s">
        <v>143</v>
      </c>
      <c r="E126" s="11">
        <v>44321</v>
      </c>
      <c r="F126" s="11">
        <v>44366</v>
      </c>
      <c r="G126" s="9">
        <v>750104</v>
      </c>
      <c r="H126" s="42">
        <v>8736</v>
      </c>
      <c r="I126" s="42"/>
      <c r="J126" s="128">
        <f>H126+I126</f>
        <v>8736</v>
      </c>
      <c r="K126" s="109" t="s">
        <v>477</v>
      </c>
      <c r="L126" s="18" t="s">
        <v>427</v>
      </c>
      <c r="M126" s="124">
        <v>44399</v>
      </c>
      <c r="N126" s="125" t="s">
        <v>416</v>
      </c>
      <c r="O126" s="44">
        <f>8736-936-7800</f>
        <v>0</v>
      </c>
      <c r="P126" s="18">
        <v>5000002236</v>
      </c>
      <c r="Q126" s="44">
        <v>7800</v>
      </c>
      <c r="R126" s="44">
        <f>348.1+1108.73</f>
        <v>1456.83</v>
      </c>
      <c r="S126" s="44">
        <f>J126-O126-Q126</f>
        <v>936</v>
      </c>
      <c r="T126" s="118"/>
      <c r="U126" s="118"/>
    </row>
    <row r="127" spans="1:21" ht="33.75" x14ac:dyDescent="0.2">
      <c r="A127" s="234"/>
      <c r="B127" s="212"/>
      <c r="C127" s="211"/>
      <c r="D127" s="10" t="s">
        <v>144</v>
      </c>
      <c r="E127" s="11">
        <v>44396</v>
      </c>
      <c r="F127" s="11">
        <v>44486</v>
      </c>
      <c r="G127" s="8"/>
      <c r="H127" s="32"/>
      <c r="I127" s="44"/>
      <c r="J127" s="44"/>
      <c r="K127" s="18"/>
      <c r="L127" s="18"/>
      <c r="M127" s="18"/>
      <c r="N127" s="18"/>
      <c r="O127" s="44"/>
      <c r="P127" s="18"/>
      <c r="Q127" s="44"/>
      <c r="R127" s="44"/>
      <c r="S127" s="44"/>
    </row>
    <row r="128" spans="1:21" ht="33.75" x14ac:dyDescent="0.2">
      <c r="A128" s="234"/>
      <c r="B128" s="212"/>
      <c r="C128" s="211"/>
      <c r="D128" s="10" t="s">
        <v>145</v>
      </c>
      <c r="E128" s="11">
        <v>44516</v>
      </c>
      <c r="F128" s="11">
        <v>44516</v>
      </c>
      <c r="G128" s="8"/>
      <c r="H128" s="32"/>
      <c r="I128" s="44"/>
      <c r="J128" s="44"/>
      <c r="K128" s="18"/>
      <c r="L128" s="18"/>
      <c r="M128" s="18"/>
      <c r="N128" s="18"/>
      <c r="O128" s="44"/>
      <c r="P128" s="18"/>
      <c r="Q128" s="44"/>
      <c r="R128" s="44"/>
      <c r="S128" s="44"/>
    </row>
    <row r="129" spans="1:20" ht="22.5" x14ac:dyDescent="0.2">
      <c r="A129" s="234"/>
      <c r="B129" s="212"/>
      <c r="C129" s="211" t="s">
        <v>59</v>
      </c>
      <c r="D129" s="10" t="s">
        <v>142</v>
      </c>
      <c r="E129" s="11">
        <v>44246</v>
      </c>
      <c r="F129" s="11">
        <v>44276</v>
      </c>
      <c r="G129" s="8"/>
      <c r="H129" s="32"/>
      <c r="I129" s="44"/>
      <c r="J129" s="44"/>
      <c r="K129" s="18"/>
      <c r="L129" s="18"/>
      <c r="M129" s="18"/>
      <c r="N129" s="18"/>
      <c r="O129" s="44"/>
      <c r="P129" s="18"/>
      <c r="Q129" s="44"/>
      <c r="R129" s="44"/>
      <c r="S129" s="44"/>
    </row>
    <row r="130" spans="1:20" ht="22.5" x14ac:dyDescent="0.2">
      <c r="A130" s="234"/>
      <c r="B130" s="212"/>
      <c r="C130" s="239"/>
      <c r="D130" s="10" t="s">
        <v>143</v>
      </c>
      <c r="E130" s="11">
        <v>44336</v>
      </c>
      <c r="F130" s="11">
        <v>44381</v>
      </c>
      <c r="G130" s="9">
        <v>750105</v>
      </c>
      <c r="H130" s="129">
        <v>50400</v>
      </c>
      <c r="I130" s="42"/>
      <c r="J130" s="128">
        <f>H130+I130</f>
        <v>50400</v>
      </c>
      <c r="K130" s="18"/>
      <c r="L130" s="18" t="s">
        <v>462</v>
      </c>
      <c r="M130" s="124">
        <v>44470</v>
      </c>
      <c r="N130" s="125" t="s">
        <v>464</v>
      </c>
      <c r="O130" s="44">
        <v>45000</v>
      </c>
      <c r="P130" s="18"/>
      <c r="Q130" s="44"/>
      <c r="R130" s="44"/>
      <c r="S130" s="44">
        <f>J130-O130-Q130</f>
        <v>5400</v>
      </c>
      <c r="T130" s="118"/>
    </row>
    <row r="131" spans="1:20" ht="33.75" x14ac:dyDescent="0.2">
      <c r="A131" s="234"/>
      <c r="B131" s="212"/>
      <c r="C131" s="211"/>
      <c r="D131" s="10" t="s">
        <v>144</v>
      </c>
      <c r="E131" s="11">
        <v>44411</v>
      </c>
      <c r="F131" s="11">
        <v>44471</v>
      </c>
      <c r="G131" s="8"/>
      <c r="H131" s="32"/>
      <c r="I131" s="44"/>
      <c r="J131" s="44"/>
      <c r="K131" s="18"/>
      <c r="L131" s="18"/>
      <c r="M131" s="18"/>
      <c r="N131" s="18"/>
      <c r="O131" s="44"/>
      <c r="P131" s="18"/>
      <c r="Q131" s="44"/>
      <c r="R131" s="44"/>
      <c r="S131" s="44"/>
    </row>
    <row r="132" spans="1:20" ht="33.75" x14ac:dyDescent="0.2">
      <c r="A132" s="234"/>
      <c r="B132" s="212"/>
      <c r="C132" s="211"/>
      <c r="D132" s="10" t="s">
        <v>145</v>
      </c>
      <c r="E132" s="11">
        <v>44501</v>
      </c>
      <c r="F132" s="11">
        <v>44501</v>
      </c>
      <c r="G132" s="8"/>
      <c r="H132" s="32"/>
      <c r="I132" s="44"/>
      <c r="J132" s="44"/>
      <c r="K132" s="18"/>
      <c r="L132" s="18"/>
      <c r="M132" s="18"/>
      <c r="N132" s="18"/>
      <c r="O132" s="44"/>
      <c r="P132" s="18"/>
      <c r="Q132" s="44"/>
      <c r="R132" s="44"/>
      <c r="S132" s="44"/>
    </row>
    <row r="133" spans="1:20" ht="11.25" customHeight="1" x14ac:dyDescent="0.2">
      <c r="A133" s="234"/>
      <c r="B133" s="212"/>
      <c r="C133" s="211" t="s">
        <v>60</v>
      </c>
      <c r="D133" s="10" t="s">
        <v>142</v>
      </c>
      <c r="E133" s="11">
        <v>44246</v>
      </c>
      <c r="F133" s="11">
        <v>44276</v>
      </c>
      <c r="G133" s="8"/>
      <c r="H133" s="32"/>
      <c r="I133" s="44"/>
      <c r="J133" s="44"/>
      <c r="K133" s="18"/>
      <c r="L133" s="18"/>
      <c r="M133" s="18"/>
      <c r="N133" s="18"/>
      <c r="O133" s="44"/>
      <c r="P133" s="18"/>
      <c r="Q133" s="44"/>
      <c r="R133" s="44"/>
      <c r="S133" s="44"/>
    </row>
    <row r="134" spans="1:20" ht="22.5" x14ac:dyDescent="0.2">
      <c r="A134" s="234"/>
      <c r="B134" s="212"/>
      <c r="C134" s="239"/>
      <c r="D134" s="10" t="s">
        <v>143</v>
      </c>
      <c r="E134" s="11">
        <v>44336</v>
      </c>
      <c r="F134" s="11">
        <v>44381</v>
      </c>
      <c r="G134" s="9">
        <v>750104</v>
      </c>
      <c r="H134" s="42">
        <v>12105.9</v>
      </c>
      <c r="I134" s="42"/>
      <c r="J134" s="44">
        <f>H134+I134</f>
        <v>12105.9</v>
      </c>
      <c r="K134" s="18"/>
      <c r="L134" s="18"/>
      <c r="M134" s="18"/>
      <c r="N134" s="18"/>
      <c r="O134" s="44"/>
      <c r="P134" s="18"/>
      <c r="Q134" s="44"/>
      <c r="R134" s="44"/>
      <c r="S134" s="44">
        <f>J134-O134-Q134</f>
        <v>12105.9</v>
      </c>
    </row>
    <row r="135" spans="1:20" ht="33.75" x14ac:dyDescent="0.2">
      <c r="A135" s="234"/>
      <c r="B135" s="212"/>
      <c r="C135" s="211"/>
      <c r="D135" s="10" t="s">
        <v>144</v>
      </c>
      <c r="E135" s="11">
        <v>44411</v>
      </c>
      <c r="F135" s="11">
        <v>44501</v>
      </c>
      <c r="G135" s="8"/>
      <c r="H135" s="32"/>
      <c r="I135" s="44"/>
      <c r="J135" s="44"/>
      <c r="K135" s="18"/>
      <c r="L135" s="18"/>
      <c r="M135" s="18"/>
      <c r="N135" s="18"/>
      <c r="O135" s="44"/>
      <c r="P135" s="18"/>
      <c r="Q135" s="44"/>
      <c r="R135" s="44"/>
      <c r="S135" s="44"/>
    </row>
    <row r="136" spans="1:20" ht="33.75" x14ac:dyDescent="0.2">
      <c r="A136" s="234"/>
      <c r="B136" s="212"/>
      <c r="C136" s="211"/>
      <c r="D136" s="10" t="s">
        <v>145</v>
      </c>
      <c r="E136" s="11">
        <v>44531</v>
      </c>
      <c r="F136" s="11">
        <v>44531</v>
      </c>
      <c r="G136" s="8"/>
      <c r="H136" s="32"/>
      <c r="I136" s="44"/>
      <c r="J136" s="44"/>
      <c r="K136" s="18"/>
      <c r="L136" s="18"/>
      <c r="M136" s="18"/>
      <c r="N136" s="18"/>
      <c r="O136" s="44"/>
      <c r="P136" s="18"/>
      <c r="Q136" s="44"/>
      <c r="R136" s="44"/>
      <c r="S136" s="44"/>
    </row>
    <row r="137" spans="1:20" ht="22.5" x14ac:dyDescent="0.2">
      <c r="A137" s="234"/>
      <c r="B137" s="212"/>
      <c r="C137" s="211" t="s">
        <v>61</v>
      </c>
      <c r="D137" s="10" t="s">
        <v>142</v>
      </c>
      <c r="E137" s="11">
        <v>44246</v>
      </c>
      <c r="F137" s="11">
        <v>44276</v>
      </c>
      <c r="G137" s="8"/>
      <c r="H137" s="32"/>
      <c r="I137" s="44"/>
      <c r="J137" s="44"/>
      <c r="K137" s="18"/>
      <c r="L137" s="18"/>
      <c r="M137" s="18"/>
      <c r="N137" s="18"/>
      <c r="O137" s="44"/>
      <c r="P137" s="18"/>
      <c r="Q137" s="44"/>
      <c r="R137" s="44"/>
      <c r="S137" s="44"/>
    </row>
    <row r="138" spans="1:20" ht="22.5" x14ac:dyDescent="0.2">
      <c r="A138" s="234"/>
      <c r="B138" s="212"/>
      <c r="C138" s="211"/>
      <c r="D138" s="10" t="s">
        <v>143</v>
      </c>
      <c r="E138" s="11">
        <v>44336</v>
      </c>
      <c r="F138" s="11">
        <v>44381</v>
      </c>
      <c r="G138" s="9">
        <v>750104</v>
      </c>
      <c r="H138" s="42">
        <v>39200</v>
      </c>
      <c r="I138" s="42"/>
      <c r="J138" s="128">
        <f>H138+I138</f>
        <v>39200</v>
      </c>
      <c r="K138" s="109" t="s">
        <v>408</v>
      </c>
      <c r="L138" s="109" t="s">
        <v>424</v>
      </c>
      <c r="M138" s="124">
        <v>44343</v>
      </c>
      <c r="N138" s="125" t="s">
        <v>376</v>
      </c>
      <c r="O138" s="44">
        <f>39200-35000-4200</f>
        <v>0</v>
      </c>
      <c r="P138" s="18">
        <v>500002144</v>
      </c>
      <c r="Q138" s="44">
        <v>35000</v>
      </c>
      <c r="R138" s="44">
        <f>21388.65+9514.46</f>
        <v>30903.11</v>
      </c>
      <c r="S138" s="44">
        <f>J138-O138-Q138</f>
        <v>4200</v>
      </c>
      <c r="T138" s="118"/>
    </row>
    <row r="139" spans="1:20" ht="33.75" x14ac:dyDescent="0.2">
      <c r="A139" s="234"/>
      <c r="B139" s="212"/>
      <c r="C139" s="211"/>
      <c r="D139" s="10" t="s">
        <v>144</v>
      </c>
      <c r="E139" s="11">
        <v>44411</v>
      </c>
      <c r="F139" s="11">
        <v>44501</v>
      </c>
      <c r="G139" s="8"/>
      <c r="H139" s="32"/>
      <c r="I139" s="44"/>
      <c r="J139" s="44"/>
      <c r="K139" s="18"/>
      <c r="L139" s="18"/>
      <c r="M139" s="18"/>
      <c r="N139" s="18"/>
      <c r="O139" s="44"/>
      <c r="P139" s="18"/>
      <c r="Q139" s="44"/>
      <c r="R139" s="44"/>
      <c r="S139" s="44"/>
    </row>
    <row r="140" spans="1:20" ht="33.75" x14ac:dyDescent="0.2">
      <c r="A140" s="234"/>
      <c r="B140" s="212"/>
      <c r="C140" s="211"/>
      <c r="D140" s="10" t="s">
        <v>145</v>
      </c>
      <c r="E140" s="11">
        <v>44531</v>
      </c>
      <c r="F140" s="11">
        <v>44531</v>
      </c>
      <c r="G140" s="8"/>
      <c r="H140" s="32"/>
      <c r="I140" s="44"/>
      <c r="J140" s="44"/>
      <c r="K140" s="18"/>
      <c r="L140" s="18"/>
      <c r="M140" s="18"/>
      <c r="N140" s="18"/>
      <c r="O140" s="44"/>
      <c r="P140" s="18"/>
      <c r="Q140" s="44"/>
      <c r="R140" s="44"/>
      <c r="S140" s="44"/>
    </row>
    <row r="141" spans="1:20" ht="22.5" x14ac:dyDescent="0.2">
      <c r="A141" s="234"/>
      <c r="B141" s="212"/>
      <c r="C141" s="211" t="s">
        <v>62</v>
      </c>
      <c r="D141" s="10" t="s">
        <v>142</v>
      </c>
      <c r="E141" s="11">
        <v>44246</v>
      </c>
      <c r="F141" s="11">
        <v>44276</v>
      </c>
      <c r="G141" s="8"/>
      <c r="H141" s="32"/>
      <c r="I141" s="44"/>
      <c r="J141" s="44"/>
      <c r="K141" s="18"/>
      <c r="L141" s="18"/>
      <c r="M141" s="18"/>
      <c r="N141" s="18"/>
      <c r="O141" s="44"/>
      <c r="P141" s="18"/>
      <c r="Q141" s="44"/>
      <c r="R141" s="44"/>
      <c r="S141" s="44"/>
    </row>
    <row r="142" spans="1:20" ht="22.5" x14ac:dyDescent="0.2">
      <c r="A142" s="234"/>
      <c r="B142" s="212"/>
      <c r="C142" s="211"/>
      <c r="D142" s="10" t="s">
        <v>143</v>
      </c>
      <c r="E142" s="11">
        <v>44336</v>
      </c>
      <c r="F142" s="11">
        <v>44381</v>
      </c>
      <c r="G142" s="9">
        <v>750104</v>
      </c>
      <c r="H142" s="42">
        <v>45560</v>
      </c>
      <c r="I142" s="42"/>
      <c r="J142" s="128">
        <f>H142+I142</f>
        <v>45560</v>
      </c>
      <c r="K142" s="109" t="s">
        <v>408</v>
      </c>
      <c r="L142" s="109" t="s">
        <v>424</v>
      </c>
      <c r="M142" s="124">
        <v>44343</v>
      </c>
      <c r="N142" s="125" t="s">
        <v>376</v>
      </c>
      <c r="O142" s="44">
        <f>45560-40678.57-4881.43</f>
        <v>0</v>
      </c>
      <c r="P142" s="18">
        <v>500002144</v>
      </c>
      <c r="Q142" s="44">
        <v>40678.57</v>
      </c>
      <c r="R142" s="44">
        <f>23870.91+15206.14+1512.46</f>
        <v>40589.51</v>
      </c>
      <c r="S142" s="44">
        <f>J142-O142-Q142</f>
        <v>4881.43</v>
      </c>
      <c r="T142" s="118"/>
    </row>
    <row r="143" spans="1:20" ht="33.75" x14ac:dyDescent="0.2">
      <c r="A143" s="234"/>
      <c r="B143" s="212"/>
      <c r="C143" s="211"/>
      <c r="D143" s="10" t="s">
        <v>144</v>
      </c>
      <c r="E143" s="11">
        <v>44411</v>
      </c>
      <c r="F143" s="11">
        <v>44501</v>
      </c>
      <c r="G143" s="8"/>
      <c r="H143" s="32"/>
      <c r="I143" s="44"/>
      <c r="J143" s="44"/>
      <c r="K143" s="18"/>
      <c r="L143" s="18"/>
      <c r="M143" s="18"/>
      <c r="N143" s="18"/>
      <c r="O143" s="44"/>
      <c r="P143" s="18"/>
      <c r="Q143" s="44"/>
      <c r="R143" s="44"/>
      <c r="S143" s="44"/>
    </row>
    <row r="144" spans="1:20" ht="33.75" x14ac:dyDescent="0.2">
      <c r="A144" s="234"/>
      <c r="B144" s="212"/>
      <c r="C144" s="211"/>
      <c r="D144" s="10" t="s">
        <v>145</v>
      </c>
      <c r="E144" s="11">
        <v>44531</v>
      </c>
      <c r="F144" s="11">
        <v>44531</v>
      </c>
      <c r="G144" s="8"/>
      <c r="H144" s="32"/>
      <c r="I144" s="44"/>
      <c r="J144" s="44"/>
      <c r="K144" s="18"/>
      <c r="L144" s="18"/>
      <c r="M144" s="18"/>
      <c r="N144" s="18"/>
      <c r="O144" s="44"/>
      <c r="P144" s="18"/>
      <c r="Q144" s="44"/>
      <c r="R144" s="44"/>
      <c r="S144" s="44"/>
    </row>
    <row r="145" spans="1:20" ht="22.5" x14ac:dyDescent="0.2">
      <c r="A145" s="234"/>
      <c r="B145" s="212"/>
      <c r="C145" s="211" t="s">
        <v>63</v>
      </c>
      <c r="D145" s="10" t="s">
        <v>142</v>
      </c>
      <c r="E145" s="11">
        <v>44246</v>
      </c>
      <c r="F145" s="11">
        <v>44276</v>
      </c>
      <c r="G145" s="8"/>
      <c r="H145" s="32"/>
      <c r="I145" s="44"/>
      <c r="J145" s="44"/>
      <c r="K145" s="18"/>
      <c r="L145" s="18"/>
      <c r="M145" s="18"/>
      <c r="N145" s="18"/>
      <c r="O145" s="44"/>
      <c r="P145" s="18"/>
      <c r="Q145" s="44"/>
      <c r="R145" s="44"/>
      <c r="S145" s="44"/>
    </row>
    <row r="146" spans="1:20" ht="22.5" x14ac:dyDescent="0.2">
      <c r="A146" s="234"/>
      <c r="B146" s="212"/>
      <c r="C146" s="211"/>
      <c r="D146" s="10" t="s">
        <v>143</v>
      </c>
      <c r="E146" s="11">
        <v>44336</v>
      </c>
      <c r="F146" s="11">
        <v>44381</v>
      </c>
      <c r="G146" s="9">
        <v>750104</v>
      </c>
      <c r="H146" s="42">
        <v>28840</v>
      </c>
      <c r="I146" s="42"/>
      <c r="J146" s="128">
        <f>H146+I146</f>
        <v>28840</v>
      </c>
      <c r="K146" s="109" t="s">
        <v>408</v>
      </c>
      <c r="L146" s="109" t="s">
        <v>424</v>
      </c>
      <c r="M146" s="124">
        <v>44343</v>
      </c>
      <c r="N146" s="125" t="s">
        <v>376</v>
      </c>
      <c r="O146" s="44">
        <f>28840-25750-3090</f>
        <v>0</v>
      </c>
      <c r="P146" s="18">
        <v>500002144</v>
      </c>
      <c r="Q146" s="44">
        <v>25750</v>
      </c>
      <c r="R146" s="44">
        <f>20305.97+13712.7</f>
        <v>34018.67</v>
      </c>
      <c r="S146" s="44">
        <f>J146-O146-Q146</f>
        <v>3090</v>
      </c>
      <c r="T146" s="118"/>
    </row>
    <row r="147" spans="1:20" ht="33.75" x14ac:dyDescent="0.2">
      <c r="A147" s="234"/>
      <c r="B147" s="212"/>
      <c r="C147" s="211"/>
      <c r="D147" s="10" t="s">
        <v>144</v>
      </c>
      <c r="E147" s="11">
        <v>44411</v>
      </c>
      <c r="F147" s="11">
        <v>44501</v>
      </c>
      <c r="G147" s="8"/>
      <c r="H147" s="32"/>
      <c r="I147" s="44"/>
      <c r="J147" s="44"/>
      <c r="K147" s="18"/>
      <c r="L147" s="18"/>
      <c r="M147" s="18"/>
      <c r="N147" s="18"/>
      <c r="O147" s="44"/>
      <c r="P147" s="18"/>
      <c r="Q147" s="44"/>
      <c r="R147" s="44"/>
      <c r="S147" s="44"/>
    </row>
    <row r="148" spans="1:20" ht="33.75" x14ac:dyDescent="0.2">
      <c r="A148" s="234"/>
      <c r="B148" s="212"/>
      <c r="C148" s="211"/>
      <c r="D148" s="10" t="s">
        <v>145</v>
      </c>
      <c r="E148" s="11">
        <v>44531</v>
      </c>
      <c r="F148" s="11">
        <v>44531</v>
      </c>
      <c r="G148" s="8"/>
      <c r="H148" s="32"/>
      <c r="I148" s="44"/>
      <c r="J148" s="44"/>
      <c r="K148" s="18"/>
      <c r="L148" s="18"/>
      <c r="M148" s="18"/>
      <c r="N148" s="18"/>
      <c r="O148" s="44"/>
      <c r="P148" s="18"/>
      <c r="Q148" s="44"/>
      <c r="R148" s="44"/>
      <c r="S148" s="44"/>
    </row>
    <row r="149" spans="1:20" ht="22.5" x14ac:dyDescent="0.2">
      <c r="A149" s="234"/>
      <c r="B149" s="212"/>
      <c r="C149" s="211" t="s">
        <v>64</v>
      </c>
      <c r="D149" s="10" t="s">
        <v>142</v>
      </c>
      <c r="E149" s="11">
        <v>44246</v>
      </c>
      <c r="F149" s="11">
        <v>44276</v>
      </c>
      <c r="G149" s="8"/>
      <c r="H149" s="32"/>
      <c r="I149" s="44"/>
      <c r="J149" s="44"/>
      <c r="K149" s="18"/>
      <c r="L149" s="18"/>
      <c r="M149" s="18"/>
      <c r="N149" s="18"/>
      <c r="O149" s="44"/>
      <c r="P149" s="18"/>
      <c r="Q149" s="44"/>
      <c r="R149" s="44"/>
      <c r="S149" s="44"/>
    </row>
    <row r="150" spans="1:20" ht="22.5" x14ac:dyDescent="0.2">
      <c r="A150" s="234"/>
      <c r="B150" s="212"/>
      <c r="C150" s="211"/>
      <c r="D150" s="10" t="s">
        <v>143</v>
      </c>
      <c r="E150" s="11">
        <v>44336</v>
      </c>
      <c r="F150" s="11">
        <v>44381</v>
      </c>
      <c r="G150" s="9">
        <v>750104</v>
      </c>
      <c r="H150" s="42">
        <v>33600</v>
      </c>
      <c r="I150" s="42"/>
      <c r="J150" s="128">
        <f>H150+I150</f>
        <v>33600</v>
      </c>
      <c r="K150" s="109" t="s">
        <v>408</v>
      </c>
      <c r="L150" s="109" t="s">
        <v>424</v>
      </c>
      <c r="M150" s="124">
        <v>44343</v>
      </c>
      <c r="N150" s="125" t="s">
        <v>376</v>
      </c>
      <c r="O150" s="44">
        <f>33600-30000-3600</f>
        <v>0</v>
      </c>
      <c r="P150" s="18">
        <v>500002144</v>
      </c>
      <c r="Q150" s="44">
        <v>30000</v>
      </c>
      <c r="R150" s="44">
        <f>3310.28+22599.47</f>
        <v>25909.75</v>
      </c>
      <c r="S150" s="44">
        <f>J150-O150-Q150</f>
        <v>3600</v>
      </c>
      <c r="T150" s="118"/>
    </row>
    <row r="151" spans="1:20" ht="33.75" x14ac:dyDescent="0.2">
      <c r="A151" s="234"/>
      <c r="B151" s="212"/>
      <c r="C151" s="211"/>
      <c r="D151" s="10" t="s">
        <v>144</v>
      </c>
      <c r="E151" s="11">
        <v>44411</v>
      </c>
      <c r="F151" s="11">
        <v>44501</v>
      </c>
      <c r="G151" s="8"/>
      <c r="H151" s="32"/>
      <c r="I151" s="44"/>
      <c r="J151" s="44"/>
      <c r="K151" s="18"/>
      <c r="L151" s="18"/>
      <c r="M151" s="18"/>
      <c r="N151" s="18"/>
      <c r="O151" s="44"/>
      <c r="P151" s="18"/>
      <c r="Q151" s="44"/>
      <c r="R151" s="44"/>
      <c r="S151" s="44"/>
    </row>
    <row r="152" spans="1:20" ht="33.75" x14ac:dyDescent="0.2">
      <c r="A152" s="234"/>
      <c r="B152" s="212"/>
      <c r="C152" s="211"/>
      <c r="D152" s="10" t="s">
        <v>145</v>
      </c>
      <c r="E152" s="11">
        <v>44531</v>
      </c>
      <c r="F152" s="11">
        <v>44531</v>
      </c>
      <c r="G152" s="8"/>
      <c r="H152" s="32"/>
      <c r="I152" s="44"/>
      <c r="J152" s="44"/>
      <c r="K152" s="18"/>
      <c r="L152" s="18"/>
      <c r="M152" s="18"/>
      <c r="N152" s="18"/>
      <c r="O152" s="44"/>
      <c r="P152" s="18"/>
      <c r="Q152" s="44"/>
      <c r="R152" s="44"/>
      <c r="S152" s="44"/>
    </row>
    <row r="153" spans="1:20" ht="22.5" x14ac:dyDescent="0.2">
      <c r="A153" s="234"/>
      <c r="B153" s="212"/>
      <c r="C153" s="211" t="s">
        <v>65</v>
      </c>
      <c r="D153" s="10" t="s">
        <v>142</v>
      </c>
      <c r="E153" s="11">
        <v>44256</v>
      </c>
      <c r="F153" s="11">
        <v>44286</v>
      </c>
      <c r="G153" s="8"/>
      <c r="H153" s="32"/>
      <c r="I153" s="44"/>
      <c r="J153" s="44"/>
      <c r="K153" s="18"/>
      <c r="L153" s="18"/>
      <c r="M153" s="18"/>
      <c r="N153" s="18"/>
      <c r="O153" s="44"/>
      <c r="P153" s="18"/>
      <c r="Q153" s="44"/>
      <c r="R153" s="44"/>
      <c r="S153" s="44"/>
    </row>
    <row r="154" spans="1:20" ht="22.5" x14ac:dyDescent="0.2">
      <c r="A154" s="234"/>
      <c r="B154" s="212"/>
      <c r="C154" s="211"/>
      <c r="D154" s="10" t="s">
        <v>143</v>
      </c>
      <c r="E154" s="11">
        <v>44346</v>
      </c>
      <c r="F154" s="11">
        <v>44391</v>
      </c>
      <c r="G154" s="9">
        <v>750105</v>
      </c>
      <c r="H154" s="42">
        <v>37040</v>
      </c>
      <c r="I154" s="42"/>
      <c r="J154" s="44">
        <f>H154+I154</f>
        <v>37040</v>
      </c>
      <c r="K154" s="109" t="s">
        <v>459</v>
      </c>
      <c r="L154" s="18" t="s">
        <v>421</v>
      </c>
      <c r="M154" s="124">
        <v>44343</v>
      </c>
      <c r="N154" s="125" t="s">
        <v>379</v>
      </c>
      <c r="O154" s="44">
        <f>37040-33071.43-3968.57</f>
        <v>0</v>
      </c>
      <c r="P154" s="18">
        <v>5000002199</v>
      </c>
      <c r="Q154" s="44">
        <v>33071.43</v>
      </c>
      <c r="R154" s="44">
        <f>23532.15+4194.88</f>
        <v>27727.030000000002</v>
      </c>
      <c r="S154" s="44">
        <f>J154-O154-Q154</f>
        <v>3968.5699999999997</v>
      </c>
      <c r="T154" s="118"/>
    </row>
    <row r="155" spans="1:20" ht="33.75" x14ac:dyDescent="0.2">
      <c r="A155" s="234"/>
      <c r="B155" s="212"/>
      <c r="C155" s="211"/>
      <c r="D155" s="10" t="s">
        <v>144</v>
      </c>
      <c r="E155" s="11">
        <v>44421</v>
      </c>
      <c r="F155" s="11">
        <v>44481</v>
      </c>
      <c r="G155" s="8"/>
      <c r="H155" s="32"/>
      <c r="I155" s="44"/>
      <c r="J155" s="44"/>
      <c r="K155" s="18"/>
      <c r="L155" s="18"/>
      <c r="M155" s="18"/>
      <c r="N155" s="18"/>
      <c r="O155" s="44"/>
      <c r="P155" s="18"/>
      <c r="Q155" s="44"/>
      <c r="R155" s="44"/>
      <c r="S155" s="44"/>
    </row>
    <row r="156" spans="1:20" ht="33.75" x14ac:dyDescent="0.2">
      <c r="A156" s="234"/>
      <c r="B156" s="212"/>
      <c r="C156" s="211"/>
      <c r="D156" s="10" t="s">
        <v>145</v>
      </c>
      <c r="E156" s="11">
        <v>44511</v>
      </c>
      <c r="F156" s="11">
        <v>44511</v>
      </c>
      <c r="G156" s="8"/>
      <c r="H156" s="32"/>
      <c r="I156" s="44"/>
      <c r="J156" s="44"/>
      <c r="K156" s="18"/>
      <c r="L156" s="18"/>
      <c r="M156" s="18"/>
      <c r="N156" s="18"/>
      <c r="O156" s="44"/>
      <c r="P156" s="18"/>
      <c r="Q156" s="44"/>
      <c r="R156" s="44"/>
      <c r="S156" s="44"/>
    </row>
    <row r="157" spans="1:20" ht="22.5" x14ac:dyDescent="0.2">
      <c r="A157" s="234"/>
      <c r="B157" s="212"/>
      <c r="C157" s="211" t="s">
        <v>66</v>
      </c>
      <c r="D157" s="10" t="s">
        <v>142</v>
      </c>
      <c r="E157" s="11">
        <v>44256</v>
      </c>
      <c r="F157" s="11">
        <v>44286</v>
      </c>
      <c r="G157" s="8"/>
      <c r="H157" s="32"/>
      <c r="I157" s="44"/>
      <c r="J157" s="44"/>
      <c r="K157" s="18"/>
      <c r="L157" s="18"/>
      <c r="M157" s="18"/>
      <c r="N157" s="18"/>
      <c r="O157" s="44"/>
      <c r="P157" s="18"/>
      <c r="Q157" s="44"/>
      <c r="R157" s="44"/>
      <c r="S157" s="44"/>
    </row>
    <row r="158" spans="1:20" ht="22.5" x14ac:dyDescent="0.2">
      <c r="A158" s="234"/>
      <c r="B158" s="212"/>
      <c r="C158" s="211"/>
      <c r="D158" s="10" t="s">
        <v>143</v>
      </c>
      <c r="E158" s="11">
        <v>44346</v>
      </c>
      <c r="F158" s="11">
        <v>44391</v>
      </c>
      <c r="G158" s="9">
        <v>750104</v>
      </c>
      <c r="H158" s="42">
        <v>28000</v>
      </c>
      <c r="I158" s="42"/>
      <c r="J158" s="128">
        <f>H158+I158</f>
        <v>28000</v>
      </c>
      <c r="K158" s="109" t="s">
        <v>459</v>
      </c>
      <c r="L158" s="18" t="s">
        <v>421</v>
      </c>
      <c r="M158" s="124">
        <v>44343</v>
      </c>
      <c r="N158" s="125" t="s">
        <v>380</v>
      </c>
      <c r="O158" s="44">
        <f>28000-25000-3000</f>
        <v>0</v>
      </c>
      <c r="P158" s="18">
        <v>5000002198</v>
      </c>
      <c r="Q158" s="44">
        <v>25000</v>
      </c>
      <c r="R158" s="44">
        <f>9041.34+13092.02</f>
        <v>22133.360000000001</v>
      </c>
      <c r="S158" s="44">
        <f>J158-O158-Q158</f>
        <v>3000</v>
      </c>
      <c r="T158" s="145">
        <f>O158</f>
        <v>0</v>
      </c>
    </row>
    <row r="159" spans="1:20" ht="33.75" x14ac:dyDescent="0.2">
      <c r="A159" s="234"/>
      <c r="B159" s="212"/>
      <c r="C159" s="211"/>
      <c r="D159" s="10" t="s">
        <v>144</v>
      </c>
      <c r="E159" s="11">
        <v>44421</v>
      </c>
      <c r="F159" s="11">
        <v>44511</v>
      </c>
      <c r="G159" s="8"/>
      <c r="H159" s="32"/>
      <c r="I159" s="44"/>
      <c r="J159" s="44"/>
      <c r="K159" s="18"/>
      <c r="L159" s="18"/>
      <c r="M159" s="18"/>
      <c r="N159" s="18"/>
      <c r="O159" s="44"/>
      <c r="P159" s="18"/>
      <c r="Q159" s="44"/>
      <c r="R159" s="44"/>
      <c r="S159" s="44"/>
    </row>
    <row r="160" spans="1:20" ht="33.75" x14ac:dyDescent="0.2">
      <c r="A160" s="234"/>
      <c r="B160" s="212"/>
      <c r="C160" s="211"/>
      <c r="D160" s="10" t="s">
        <v>145</v>
      </c>
      <c r="E160" s="11">
        <v>44541</v>
      </c>
      <c r="F160" s="11">
        <v>44541</v>
      </c>
      <c r="G160" s="8"/>
      <c r="H160" s="32"/>
      <c r="I160" s="44"/>
      <c r="J160" s="44"/>
      <c r="K160" s="18"/>
      <c r="L160" s="18"/>
      <c r="M160" s="18"/>
      <c r="N160" s="18"/>
      <c r="O160" s="44"/>
      <c r="P160" s="18"/>
      <c r="Q160" s="44"/>
      <c r="R160" s="44"/>
      <c r="S160" s="44"/>
    </row>
    <row r="161" spans="1:20" ht="22.5" x14ac:dyDescent="0.2">
      <c r="A161" s="234"/>
      <c r="B161" s="212"/>
      <c r="C161" s="211" t="s">
        <v>67</v>
      </c>
      <c r="D161" s="10" t="s">
        <v>142</v>
      </c>
      <c r="E161" s="11">
        <v>44256</v>
      </c>
      <c r="F161" s="11">
        <v>44286</v>
      </c>
      <c r="G161" s="8"/>
      <c r="H161" s="32"/>
      <c r="I161" s="44"/>
      <c r="J161" s="44"/>
      <c r="K161" s="18"/>
      <c r="L161" s="18"/>
      <c r="M161" s="18"/>
      <c r="N161" s="18"/>
      <c r="O161" s="44"/>
      <c r="P161" s="18"/>
      <c r="Q161" s="44"/>
      <c r="R161" s="44"/>
      <c r="S161" s="44"/>
    </row>
    <row r="162" spans="1:20" ht="22.5" x14ac:dyDescent="0.2">
      <c r="A162" s="234"/>
      <c r="B162" s="212"/>
      <c r="C162" s="211"/>
      <c r="D162" s="10" t="s">
        <v>143</v>
      </c>
      <c r="E162" s="11">
        <v>44346</v>
      </c>
      <c r="F162" s="11">
        <v>44391</v>
      </c>
      <c r="G162" s="9">
        <v>750104</v>
      </c>
      <c r="H162" s="42">
        <v>28000</v>
      </c>
      <c r="I162" s="42"/>
      <c r="J162" s="128">
        <f>H162+I162</f>
        <v>28000</v>
      </c>
      <c r="K162" s="109" t="s">
        <v>459</v>
      </c>
      <c r="L162" s="18" t="s">
        <v>421</v>
      </c>
      <c r="M162" s="124">
        <v>44343</v>
      </c>
      <c r="N162" s="125" t="s">
        <v>380</v>
      </c>
      <c r="O162" s="44">
        <f>28000-25000-3000</f>
        <v>0</v>
      </c>
      <c r="P162" s="18">
        <v>5000002198</v>
      </c>
      <c r="Q162" s="44">
        <v>25000</v>
      </c>
      <c r="R162" s="44">
        <f>11049.84+1068.72</f>
        <v>12118.56</v>
      </c>
      <c r="S162" s="44">
        <f>J162-O162-Q162</f>
        <v>3000</v>
      </c>
      <c r="T162" s="145">
        <f>O162</f>
        <v>0</v>
      </c>
    </row>
    <row r="163" spans="1:20" ht="33.75" x14ac:dyDescent="0.2">
      <c r="A163" s="234"/>
      <c r="B163" s="212"/>
      <c r="C163" s="211"/>
      <c r="D163" s="10" t="s">
        <v>144</v>
      </c>
      <c r="E163" s="11">
        <v>44421</v>
      </c>
      <c r="F163" s="11">
        <v>44511</v>
      </c>
      <c r="G163" s="8"/>
      <c r="H163" s="32"/>
      <c r="I163" s="44"/>
      <c r="J163" s="44"/>
      <c r="K163" s="18"/>
      <c r="L163" s="18"/>
      <c r="M163" s="18"/>
      <c r="N163" s="18"/>
      <c r="O163" s="44"/>
      <c r="P163" s="18"/>
      <c r="Q163" s="44"/>
      <c r="R163" s="44"/>
      <c r="S163" s="44"/>
    </row>
    <row r="164" spans="1:20" ht="33.75" x14ac:dyDescent="0.2">
      <c r="A164" s="234"/>
      <c r="B164" s="212"/>
      <c r="C164" s="211"/>
      <c r="D164" s="10" t="s">
        <v>145</v>
      </c>
      <c r="E164" s="11">
        <v>44541</v>
      </c>
      <c r="F164" s="11">
        <v>44541</v>
      </c>
      <c r="G164" s="8"/>
      <c r="H164" s="32"/>
      <c r="I164" s="44"/>
      <c r="J164" s="44"/>
      <c r="K164" s="18"/>
      <c r="L164" s="18"/>
      <c r="M164" s="18"/>
      <c r="N164" s="18"/>
      <c r="O164" s="44"/>
      <c r="P164" s="18"/>
      <c r="Q164" s="44"/>
      <c r="R164" s="44"/>
      <c r="S164" s="44"/>
    </row>
    <row r="165" spans="1:20" ht="22.5" x14ac:dyDescent="0.2">
      <c r="A165" s="234"/>
      <c r="B165" s="212"/>
      <c r="C165" s="211" t="s">
        <v>68</v>
      </c>
      <c r="D165" s="10" t="s">
        <v>142</v>
      </c>
      <c r="E165" s="11">
        <v>44256</v>
      </c>
      <c r="F165" s="11">
        <v>44286</v>
      </c>
      <c r="G165" s="8"/>
      <c r="H165" s="32"/>
      <c r="I165" s="44"/>
      <c r="J165" s="44"/>
      <c r="K165" s="18"/>
      <c r="L165" s="18"/>
      <c r="M165" s="18"/>
      <c r="N165" s="18"/>
      <c r="O165" s="44"/>
      <c r="P165" s="18"/>
      <c r="Q165" s="44"/>
      <c r="R165" s="44"/>
      <c r="S165" s="44"/>
    </row>
    <row r="166" spans="1:20" ht="22.5" x14ac:dyDescent="0.2">
      <c r="A166" s="234"/>
      <c r="B166" s="212"/>
      <c r="C166" s="211"/>
      <c r="D166" s="10" t="s">
        <v>143</v>
      </c>
      <c r="E166" s="11">
        <v>44346</v>
      </c>
      <c r="F166" s="11">
        <v>44391</v>
      </c>
      <c r="G166" s="9">
        <v>750104</v>
      </c>
      <c r="H166" s="42">
        <v>39760</v>
      </c>
      <c r="I166" s="42"/>
      <c r="J166" s="128">
        <f>H166+I166</f>
        <v>39760</v>
      </c>
      <c r="K166" s="109" t="s">
        <v>459</v>
      </c>
      <c r="L166" s="18" t="s">
        <v>421</v>
      </c>
      <c r="M166" s="124">
        <v>44343</v>
      </c>
      <c r="N166" s="125" t="s">
        <v>380</v>
      </c>
      <c r="O166" s="44">
        <f>39760-35500-4260</f>
        <v>0</v>
      </c>
      <c r="P166" s="18">
        <v>5000002198</v>
      </c>
      <c r="Q166" s="44">
        <v>35500</v>
      </c>
      <c r="R166" s="44">
        <f>348.1+37839.27</f>
        <v>38187.369999999995</v>
      </c>
      <c r="S166" s="44">
        <f>J166-O166-Q166</f>
        <v>4260</v>
      </c>
      <c r="T166" s="145">
        <f>O166</f>
        <v>0</v>
      </c>
    </row>
    <row r="167" spans="1:20" ht="33.75" x14ac:dyDescent="0.2">
      <c r="A167" s="234"/>
      <c r="B167" s="212"/>
      <c r="C167" s="211"/>
      <c r="D167" s="10" t="s">
        <v>144</v>
      </c>
      <c r="E167" s="11">
        <v>44421</v>
      </c>
      <c r="F167" s="11">
        <v>44511</v>
      </c>
      <c r="G167" s="8"/>
      <c r="H167" s="32"/>
      <c r="I167" s="44"/>
      <c r="J167" s="44"/>
      <c r="K167" s="18"/>
      <c r="L167" s="18"/>
      <c r="M167" s="18"/>
      <c r="N167" s="18"/>
      <c r="O167" s="44"/>
      <c r="P167" s="18"/>
      <c r="Q167" s="44"/>
      <c r="R167" s="44"/>
      <c r="S167" s="44"/>
    </row>
    <row r="168" spans="1:20" ht="33.75" x14ac:dyDescent="0.2">
      <c r="A168" s="234"/>
      <c r="B168" s="212"/>
      <c r="C168" s="211"/>
      <c r="D168" s="10" t="s">
        <v>145</v>
      </c>
      <c r="E168" s="11">
        <v>44542</v>
      </c>
      <c r="F168" s="11">
        <v>44542</v>
      </c>
      <c r="G168" s="8"/>
      <c r="H168" s="32"/>
      <c r="I168" s="44"/>
      <c r="J168" s="44"/>
      <c r="K168" s="18"/>
      <c r="L168" s="18"/>
      <c r="M168" s="18"/>
      <c r="N168" s="18"/>
      <c r="O168" s="44"/>
      <c r="P168" s="18"/>
      <c r="Q168" s="44"/>
      <c r="R168" s="44"/>
      <c r="S168" s="44"/>
    </row>
    <row r="169" spans="1:20" ht="22.5" x14ac:dyDescent="0.2">
      <c r="A169" s="234"/>
      <c r="B169" s="212"/>
      <c r="C169" s="211" t="s">
        <v>69</v>
      </c>
      <c r="D169" s="10" t="s">
        <v>142</v>
      </c>
      <c r="E169" s="11">
        <v>44256</v>
      </c>
      <c r="F169" s="11">
        <v>44286</v>
      </c>
      <c r="G169" s="8"/>
      <c r="H169" s="32"/>
      <c r="I169" s="44"/>
      <c r="J169" s="44"/>
      <c r="K169" s="18"/>
      <c r="L169" s="18"/>
      <c r="M169" s="18"/>
      <c r="N169" s="18"/>
      <c r="O169" s="44"/>
      <c r="P169" s="18"/>
      <c r="Q169" s="44"/>
      <c r="R169" s="44"/>
      <c r="S169" s="44"/>
    </row>
    <row r="170" spans="1:20" ht="22.5" x14ac:dyDescent="0.2">
      <c r="A170" s="234"/>
      <c r="B170" s="212"/>
      <c r="C170" s="211"/>
      <c r="D170" s="10" t="s">
        <v>143</v>
      </c>
      <c r="E170" s="11">
        <v>44346</v>
      </c>
      <c r="F170" s="11">
        <v>44391</v>
      </c>
      <c r="G170" s="9">
        <v>750104</v>
      </c>
      <c r="H170" s="42">
        <v>55415.83</v>
      </c>
      <c r="I170" s="42"/>
      <c r="J170" s="128">
        <f>H170+I170</f>
        <v>55415.83</v>
      </c>
      <c r="K170" s="109" t="s">
        <v>459</v>
      </c>
      <c r="L170" s="18" t="s">
        <v>421</v>
      </c>
      <c r="M170" s="124">
        <v>44343</v>
      </c>
      <c r="N170" s="125" t="s">
        <v>380</v>
      </c>
      <c r="O170" s="44">
        <f>55415.83-49478.42-5937.41</f>
        <v>0</v>
      </c>
      <c r="P170" s="18">
        <v>5000002198</v>
      </c>
      <c r="Q170" s="44">
        <v>49478.42</v>
      </c>
      <c r="R170" s="44">
        <f>37299.91+24839.2</f>
        <v>62139.11</v>
      </c>
      <c r="S170" s="44">
        <f>J170-O170-Q170</f>
        <v>5937.4100000000035</v>
      </c>
      <c r="T170" s="145">
        <f>O170</f>
        <v>0</v>
      </c>
    </row>
    <row r="171" spans="1:20" ht="33.75" x14ac:dyDescent="0.2">
      <c r="A171" s="234"/>
      <c r="B171" s="212"/>
      <c r="C171" s="211"/>
      <c r="D171" s="10" t="s">
        <v>144</v>
      </c>
      <c r="E171" s="11">
        <v>44421</v>
      </c>
      <c r="F171" s="11">
        <v>44511</v>
      </c>
      <c r="G171" s="8"/>
      <c r="H171" s="32"/>
      <c r="I171" s="44"/>
      <c r="J171" s="44"/>
      <c r="K171" s="18"/>
      <c r="L171" s="18"/>
      <c r="M171" s="18"/>
      <c r="N171" s="18"/>
      <c r="O171" s="44"/>
      <c r="P171" s="18"/>
      <c r="Q171" s="44"/>
      <c r="R171" s="44"/>
      <c r="S171" s="44"/>
    </row>
    <row r="172" spans="1:20" ht="33.75" x14ac:dyDescent="0.2">
      <c r="A172" s="234"/>
      <c r="B172" s="212"/>
      <c r="C172" s="211"/>
      <c r="D172" s="10" t="s">
        <v>145</v>
      </c>
      <c r="E172" s="11">
        <v>44541</v>
      </c>
      <c r="F172" s="11">
        <v>44541</v>
      </c>
      <c r="G172" s="8"/>
      <c r="H172" s="32"/>
      <c r="I172" s="44"/>
      <c r="J172" s="44"/>
      <c r="K172" s="18"/>
      <c r="L172" s="18"/>
      <c r="M172" s="18"/>
      <c r="N172" s="18"/>
      <c r="O172" s="44"/>
      <c r="P172" s="18"/>
      <c r="Q172" s="44"/>
      <c r="R172" s="44"/>
      <c r="S172" s="44"/>
    </row>
    <row r="173" spans="1:20" ht="22.5" x14ac:dyDescent="0.2">
      <c r="A173" s="234"/>
      <c r="B173" s="212" t="s">
        <v>70</v>
      </c>
      <c r="C173" s="211" t="s">
        <v>71</v>
      </c>
      <c r="D173" s="10" t="s">
        <v>143</v>
      </c>
      <c r="E173" s="11">
        <v>44291</v>
      </c>
      <c r="F173" s="11">
        <v>44336</v>
      </c>
      <c r="G173" s="9">
        <v>750104</v>
      </c>
      <c r="H173" s="42">
        <v>22400</v>
      </c>
      <c r="I173" s="42"/>
      <c r="J173" s="44">
        <f>H173+I173</f>
        <v>22400</v>
      </c>
      <c r="K173" s="109" t="s">
        <v>417</v>
      </c>
      <c r="L173" s="109" t="s">
        <v>425</v>
      </c>
      <c r="M173" s="124">
        <v>44285</v>
      </c>
      <c r="N173" s="125" t="s">
        <v>344</v>
      </c>
      <c r="O173" s="44">
        <f>22400-20000-2400</f>
        <v>0</v>
      </c>
      <c r="P173" s="18">
        <v>5000002148</v>
      </c>
      <c r="Q173" s="44">
        <v>20000</v>
      </c>
      <c r="R173" s="44">
        <f>11814.89+6455.96</f>
        <v>18270.849999999999</v>
      </c>
      <c r="S173" s="44">
        <f>J173-O173-Q173</f>
        <v>2400</v>
      </c>
      <c r="T173" s="118"/>
    </row>
    <row r="174" spans="1:20" ht="33.75" x14ac:dyDescent="0.2">
      <c r="A174" s="234"/>
      <c r="B174" s="212"/>
      <c r="C174" s="211"/>
      <c r="D174" s="10" t="s">
        <v>144</v>
      </c>
      <c r="E174" s="11">
        <v>44366</v>
      </c>
      <c r="F174" s="11">
        <v>44456</v>
      </c>
      <c r="G174" s="8"/>
      <c r="H174" s="32"/>
      <c r="I174" s="44"/>
      <c r="J174" s="44"/>
      <c r="K174" s="18"/>
      <c r="L174" s="18"/>
      <c r="M174" s="18"/>
      <c r="N174" s="18"/>
      <c r="O174" s="44"/>
      <c r="P174" s="18"/>
      <c r="Q174" s="44"/>
      <c r="R174" s="44"/>
      <c r="S174" s="44"/>
    </row>
    <row r="175" spans="1:20" ht="33.75" x14ac:dyDescent="0.2">
      <c r="A175" s="234"/>
      <c r="B175" s="212"/>
      <c r="C175" s="211"/>
      <c r="D175" s="10" t="s">
        <v>145</v>
      </c>
      <c r="E175" s="11">
        <v>44486</v>
      </c>
      <c r="F175" s="11">
        <v>44486</v>
      </c>
      <c r="G175" s="8"/>
      <c r="H175" s="32"/>
      <c r="I175" s="44"/>
      <c r="J175" s="44"/>
      <c r="K175" s="18"/>
      <c r="L175" s="18"/>
      <c r="M175" s="18"/>
      <c r="N175" s="18"/>
      <c r="O175" s="44"/>
      <c r="P175" s="18"/>
      <c r="Q175" s="44"/>
      <c r="R175" s="44"/>
      <c r="S175" s="44"/>
    </row>
    <row r="176" spans="1:20" ht="22.5" x14ac:dyDescent="0.2">
      <c r="A176" s="234"/>
      <c r="B176" s="212"/>
      <c r="C176" s="211" t="s">
        <v>72</v>
      </c>
      <c r="D176" s="10" t="s">
        <v>143</v>
      </c>
      <c r="E176" s="11">
        <v>44291</v>
      </c>
      <c r="F176" s="11">
        <v>44336</v>
      </c>
      <c r="G176" s="9">
        <v>750104</v>
      </c>
      <c r="H176" s="42">
        <v>65520</v>
      </c>
      <c r="I176" s="42"/>
      <c r="J176" s="44">
        <f>H176+I176</f>
        <v>65520</v>
      </c>
      <c r="K176" s="109" t="s">
        <v>417</v>
      </c>
      <c r="L176" s="109" t="s">
        <v>425</v>
      </c>
      <c r="M176" s="124">
        <v>44285</v>
      </c>
      <c r="N176" s="125" t="s">
        <v>344</v>
      </c>
      <c r="O176" s="44">
        <f>65520-58500-7020</f>
        <v>0</v>
      </c>
      <c r="P176" s="18">
        <v>5000002148</v>
      </c>
      <c r="Q176" s="44">
        <v>58500</v>
      </c>
      <c r="R176" s="44">
        <f>30552.05+65445.26</f>
        <v>95997.31</v>
      </c>
      <c r="S176" s="44">
        <f>J176-O176-Q176</f>
        <v>7020</v>
      </c>
      <c r="T176" s="118"/>
    </row>
    <row r="177" spans="1:20" ht="33.75" x14ac:dyDescent="0.2">
      <c r="A177" s="234"/>
      <c r="B177" s="212"/>
      <c r="C177" s="211"/>
      <c r="D177" s="10" t="s">
        <v>144</v>
      </c>
      <c r="E177" s="11">
        <v>44366</v>
      </c>
      <c r="F177" s="11">
        <v>44456</v>
      </c>
      <c r="G177" s="8"/>
      <c r="H177" s="32"/>
      <c r="I177" s="44"/>
      <c r="J177" s="44"/>
      <c r="K177" s="18"/>
      <c r="L177" s="18"/>
      <c r="M177" s="18"/>
      <c r="N177" s="18"/>
      <c r="O177" s="44"/>
      <c r="P177" s="18"/>
      <c r="Q177" s="44"/>
      <c r="R177" s="44"/>
      <c r="S177" s="44"/>
    </row>
    <row r="178" spans="1:20" ht="33.75" x14ac:dyDescent="0.2">
      <c r="A178" s="234"/>
      <c r="B178" s="212"/>
      <c r="C178" s="211"/>
      <c r="D178" s="10" t="s">
        <v>145</v>
      </c>
      <c r="E178" s="11">
        <v>44486</v>
      </c>
      <c r="F178" s="11">
        <v>44486</v>
      </c>
      <c r="G178" s="8"/>
      <c r="H178" s="32"/>
      <c r="I178" s="44"/>
      <c r="J178" s="44"/>
      <c r="K178" s="18"/>
      <c r="L178" s="18"/>
      <c r="M178" s="18"/>
      <c r="N178" s="18"/>
      <c r="O178" s="44"/>
      <c r="P178" s="18"/>
      <c r="Q178" s="44"/>
      <c r="R178" s="44"/>
      <c r="S178" s="44"/>
    </row>
    <row r="179" spans="1:20" ht="22.5" x14ac:dyDescent="0.2">
      <c r="A179" s="234"/>
      <c r="B179" s="212"/>
      <c r="C179" s="211" t="s">
        <v>73</v>
      </c>
      <c r="D179" s="10" t="s">
        <v>143</v>
      </c>
      <c r="E179" s="11">
        <v>44291</v>
      </c>
      <c r="F179" s="11">
        <v>44336</v>
      </c>
      <c r="G179" s="9">
        <v>750104</v>
      </c>
      <c r="H179" s="42">
        <v>71386.94</v>
      </c>
      <c r="I179" s="42"/>
      <c r="J179" s="44">
        <f>H179+I179</f>
        <v>71386.94</v>
      </c>
      <c r="K179" s="109" t="s">
        <v>417</v>
      </c>
      <c r="L179" s="109" t="s">
        <v>425</v>
      </c>
      <c r="M179" s="124">
        <v>44285</v>
      </c>
      <c r="N179" s="125" t="s">
        <v>344</v>
      </c>
      <c r="O179" s="44">
        <f>71386.94-63738.34-7648.6</f>
        <v>0</v>
      </c>
      <c r="P179" s="18">
        <v>5000002148</v>
      </c>
      <c r="Q179" s="44">
        <v>63738.34</v>
      </c>
      <c r="R179" s="44">
        <f>16290.99+11678.84</f>
        <v>27969.83</v>
      </c>
      <c r="S179" s="44">
        <f>J179-O179-Q179</f>
        <v>7648.6000000000058</v>
      </c>
      <c r="T179" s="118"/>
    </row>
    <row r="180" spans="1:20" ht="33.75" x14ac:dyDescent="0.2">
      <c r="A180" s="234"/>
      <c r="B180" s="212"/>
      <c r="C180" s="211"/>
      <c r="D180" s="10" t="s">
        <v>144</v>
      </c>
      <c r="E180" s="11">
        <v>44366</v>
      </c>
      <c r="F180" s="11">
        <v>44456</v>
      </c>
      <c r="G180" s="8"/>
      <c r="H180" s="32"/>
      <c r="I180" s="44"/>
      <c r="J180" s="44"/>
      <c r="K180" s="18"/>
      <c r="L180" s="18"/>
      <c r="M180" s="18"/>
      <c r="N180" s="18"/>
      <c r="O180" s="44"/>
      <c r="P180" s="18"/>
      <c r="Q180" s="44"/>
      <c r="R180" s="44"/>
      <c r="S180" s="44"/>
    </row>
    <row r="181" spans="1:20" ht="33.75" x14ac:dyDescent="0.2">
      <c r="A181" s="234"/>
      <c r="B181" s="212"/>
      <c r="C181" s="211"/>
      <c r="D181" s="10" t="s">
        <v>145</v>
      </c>
      <c r="E181" s="11">
        <v>44486</v>
      </c>
      <c r="F181" s="11">
        <v>44486</v>
      </c>
      <c r="G181" s="8"/>
      <c r="H181" s="32"/>
      <c r="I181" s="44"/>
      <c r="J181" s="44"/>
      <c r="K181" s="18"/>
      <c r="L181" s="18"/>
      <c r="M181" s="18"/>
      <c r="N181" s="18"/>
      <c r="O181" s="44"/>
      <c r="P181" s="18"/>
      <c r="Q181" s="44"/>
      <c r="R181" s="44"/>
      <c r="S181" s="44"/>
    </row>
    <row r="182" spans="1:20" ht="22.5" x14ac:dyDescent="0.2">
      <c r="A182" s="234"/>
      <c r="B182" s="212"/>
      <c r="C182" s="211" t="s">
        <v>74</v>
      </c>
      <c r="D182" s="10" t="s">
        <v>143</v>
      </c>
      <c r="E182" s="11">
        <v>44291</v>
      </c>
      <c r="F182" s="11">
        <v>44336</v>
      </c>
      <c r="G182" s="9">
        <v>750104</v>
      </c>
      <c r="H182" s="42">
        <v>54880</v>
      </c>
      <c r="I182" s="42"/>
      <c r="J182" s="44">
        <f>H182+I182</f>
        <v>54880</v>
      </c>
      <c r="K182" s="109" t="s">
        <v>386</v>
      </c>
      <c r="L182" s="109" t="s">
        <v>420</v>
      </c>
      <c r="M182" s="124">
        <v>44285</v>
      </c>
      <c r="N182" s="125" t="s">
        <v>345</v>
      </c>
      <c r="O182" s="44">
        <f>54880-49000-5880</f>
        <v>0</v>
      </c>
      <c r="P182" s="18">
        <v>5000002117</v>
      </c>
      <c r="Q182" s="44">
        <v>49000</v>
      </c>
      <c r="R182" s="44">
        <f>43204.79+12142.26</f>
        <v>55347.05</v>
      </c>
      <c r="S182" s="44">
        <f>J182-O182-Q182</f>
        <v>5880</v>
      </c>
      <c r="T182" s="146">
        <f>O182</f>
        <v>0</v>
      </c>
    </row>
    <row r="183" spans="1:20" ht="33.75" x14ac:dyDescent="0.2">
      <c r="A183" s="234"/>
      <c r="B183" s="212"/>
      <c r="C183" s="211"/>
      <c r="D183" s="10" t="s">
        <v>144</v>
      </c>
      <c r="E183" s="11">
        <v>44366</v>
      </c>
      <c r="F183" s="11">
        <v>44456</v>
      </c>
      <c r="G183" s="8"/>
      <c r="H183" s="32"/>
      <c r="I183" s="44"/>
      <c r="J183" s="44"/>
      <c r="K183" s="18"/>
      <c r="L183" s="18"/>
      <c r="M183" s="18"/>
      <c r="N183" s="18"/>
      <c r="O183" s="44"/>
      <c r="P183" s="18"/>
      <c r="Q183" s="44"/>
      <c r="R183" s="44"/>
      <c r="S183" s="44"/>
    </row>
    <row r="184" spans="1:20" ht="33.75" x14ac:dyDescent="0.2">
      <c r="A184" s="234"/>
      <c r="B184" s="212"/>
      <c r="C184" s="211"/>
      <c r="D184" s="10" t="s">
        <v>145</v>
      </c>
      <c r="E184" s="11">
        <v>44486</v>
      </c>
      <c r="F184" s="11">
        <v>44486</v>
      </c>
      <c r="G184" s="8"/>
      <c r="H184" s="32"/>
      <c r="I184" s="44"/>
      <c r="J184" s="44"/>
      <c r="K184" s="18"/>
      <c r="L184" s="18"/>
      <c r="M184" s="18"/>
      <c r="N184" s="18"/>
      <c r="O184" s="44"/>
      <c r="P184" s="18"/>
      <c r="Q184" s="44"/>
      <c r="R184" s="44"/>
      <c r="S184" s="44"/>
    </row>
    <row r="185" spans="1:20" ht="22.5" x14ac:dyDescent="0.2">
      <c r="A185" s="234"/>
      <c r="B185" s="212"/>
      <c r="C185" s="211" t="s">
        <v>75</v>
      </c>
      <c r="D185" s="10" t="s">
        <v>143</v>
      </c>
      <c r="E185" s="11">
        <v>44291</v>
      </c>
      <c r="F185" s="11">
        <v>44336</v>
      </c>
      <c r="G185" s="9">
        <v>750104</v>
      </c>
      <c r="H185" s="42">
        <v>35840</v>
      </c>
      <c r="I185" s="42"/>
      <c r="J185" s="44">
        <f>H185+I185</f>
        <v>35840</v>
      </c>
      <c r="K185" s="109" t="s">
        <v>386</v>
      </c>
      <c r="L185" s="109" t="s">
        <v>420</v>
      </c>
      <c r="M185" s="124">
        <v>44285</v>
      </c>
      <c r="N185" s="125" t="s">
        <v>345</v>
      </c>
      <c r="O185" s="44">
        <f>35840-32000-3840</f>
        <v>0</v>
      </c>
      <c r="P185" s="18">
        <v>5000002117</v>
      </c>
      <c r="Q185" s="44">
        <v>32000</v>
      </c>
      <c r="R185" s="44">
        <f>14528.42+16426.96</f>
        <v>30955.379999999997</v>
      </c>
      <c r="S185" s="44">
        <f>J185-O185-Q185</f>
        <v>3840</v>
      </c>
      <c r="T185" s="146">
        <f>O185</f>
        <v>0</v>
      </c>
    </row>
    <row r="186" spans="1:20" ht="33.75" x14ac:dyDescent="0.2">
      <c r="A186" s="234"/>
      <c r="B186" s="212"/>
      <c r="C186" s="211"/>
      <c r="D186" s="10" t="s">
        <v>144</v>
      </c>
      <c r="E186" s="11">
        <v>44366</v>
      </c>
      <c r="F186" s="11">
        <v>44456</v>
      </c>
      <c r="G186" s="8"/>
      <c r="H186" s="32"/>
      <c r="I186" s="44"/>
      <c r="J186" s="44"/>
      <c r="K186" s="18"/>
      <c r="L186" s="18"/>
      <c r="M186" s="18"/>
      <c r="N186" s="18"/>
      <c r="O186" s="44"/>
      <c r="P186" s="18"/>
      <c r="Q186" s="44"/>
      <c r="R186" s="44"/>
      <c r="S186" s="44"/>
    </row>
    <row r="187" spans="1:20" ht="33.75" x14ac:dyDescent="0.2">
      <c r="A187" s="234"/>
      <c r="B187" s="212"/>
      <c r="C187" s="211"/>
      <c r="D187" s="10" t="s">
        <v>145</v>
      </c>
      <c r="E187" s="11">
        <v>44486</v>
      </c>
      <c r="F187" s="11">
        <v>44486</v>
      </c>
      <c r="G187" s="8"/>
      <c r="H187" s="32"/>
      <c r="I187" s="44"/>
      <c r="J187" s="44"/>
      <c r="K187" s="18"/>
      <c r="L187" s="18"/>
      <c r="M187" s="18"/>
      <c r="N187" s="18"/>
      <c r="O187" s="44"/>
      <c r="P187" s="18"/>
      <c r="Q187" s="44"/>
      <c r="R187" s="44"/>
      <c r="S187" s="44"/>
    </row>
    <row r="188" spans="1:20" ht="22.5" x14ac:dyDescent="0.2">
      <c r="A188" s="234"/>
      <c r="B188" s="212"/>
      <c r="C188" s="211" t="s">
        <v>76</v>
      </c>
      <c r="D188" s="10" t="s">
        <v>143</v>
      </c>
      <c r="E188" s="11">
        <v>44291</v>
      </c>
      <c r="F188" s="11">
        <v>44336</v>
      </c>
      <c r="G188" s="9">
        <v>750104</v>
      </c>
      <c r="H188" s="42">
        <v>50400</v>
      </c>
      <c r="I188" s="42"/>
      <c r="J188" s="44">
        <f>H188+I188</f>
        <v>50400</v>
      </c>
      <c r="K188" s="109" t="s">
        <v>386</v>
      </c>
      <c r="L188" s="109" t="s">
        <v>420</v>
      </c>
      <c r="M188" s="124">
        <v>44285</v>
      </c>
      <c r="N188" s="125" t="s">
        <v>345</v>
      </c>
      <c r="O188" s="44">
        <f>50400-45000-5400</f>
        <v>0</v>
      </c>
      <c r="P188" s="18">
        <v>5000002117</v>
      </c>
      <c r="Q188" s="44">
        <v>45000</v>
      </c>
      <c r="R188" s="44">
        <f>1084.07+17753.11</f>
        <v>18837.18</v>
      </c>
      <c r="S188" s="44">
        <f>J188-O188-Q188</f>
        <v>5400</v>
      </c>
      <c r="T188" s="146">
        <f>O188</f>
        <v>0</v>
      </c>
    </row>
    <row r="189" spans="1:20" ht="33.75" x14ac:dyDescent="0.2">
      <c r="A189" s="234"/>
      <c r="B189" s="212"/>
      <c r="C189" s="211"/>
      <c r="D189" s="10" t="s">
        <v>144</v>
      </c>
      <c r="E189" s="11">
        <v>44366</v>
      </c>
      <c r="F189" s="11">
        <v>44456</v>
      </c>
      <c r="G189" s="8"/>
      <c r="H189" s="32"/>
      <c r="I189" s="44"/>
      <c r="J189" s="44"/>
      <c r="K189" s="18"/>
      <c r="L189" s="18"/>
      <c r="M189" s="18"/>
      <c r="N189" s="18"/>
      <c r="O189" s="44"/>
      <c r="P189" s="18"/>
      <c r="Q189" s="44"/>
      <c r="R189" s="44"/>
      <c r="S189" s="44"/>
    </row>
    <row r="190" spans="1:20" ht="33.75" x14ac:dyDescent="0.2">
      <c r="A190" s="234"/>
      <c r="B190" s="212"/>
      <c r="C190" s="211"/>
      <c r="D190" s="10" t="s">
        <v>145</v>
      </c>
      <c r="E190" s="11">
        <v>44486</v>
      </c>
      <c r="F190" s="11">
        <v>44486</v>
      </c>
      <c r="G190" s="8"/>
      <c r="H190" s="32"/>
      <c r="I190" s="44"/>
      <c r="J190" s="44"/>
      <c r="K190" s="18"/>
      <c r="L190" s="18"/>
      <c r="M190" s="18"/>
      <c r="N190" s="18"/>
      <c r="O190" s="44"/>
      <c r="P190" s="18"/>
      <c r="Q190" s="44"/>
      <c r="R190" s="44"/>
      <c r="S190" s="44"/>
    </row>
    <row r="191" spans="1:20" ht="22.5" x14ac:dyDescent="0.2">
      <c r="A191" s="234"/>
      <c r="B191" s="212"/>
      <c r="C191" s="211" t="s">
        <v>77</v>
      </c>
      <c r="D191" s="10" t="s">
        <v>143</v>
      </c>
      <c r="E191" s="11">
        <v>44291</v>
      </c>
      <c r="F191" s="11">
        <v>44336</v>
      </c>
      <c r="G191" s="9">
        <v>750104</v>
      </c>
      <c r="H191" s="42">
        <v>100800</v>
      </c>
      <c r="I191" s="42"/>
      <c r="J191" s="44">
        <f>H191+I191</f>
        <v>100800</v>
      </c>
      <c r="K191" s="109" t="s">
        <v>386</v>
      </c>
      <c r="L191" s="109" t="s">
        <v>420</v>
      </c>
      <c r="M191" s="124">
        <v>44285</v>
      </c>
      <c r="N191" s="125" t="s">
        <v>345</v>
      </c>
      <c r="O191" s="44">
        <f>100800-90000-10800</f>
        <v>0</v>
      </c>
      <c r="P191" s="18">
        <v>5000002117</v>
      </c>
      <c r="Q191" s="44">
        <v>90000</v>
      </c>
      <c r="R191" s="44">
        <f>80732.56+25180.67</f>
        <v>105913.23</v>
      </c>
      <c r="S191" s="44">
        <f>J191-O191-Q191</f>
        <v>10800</v>
      </c>
      <c r="T191" s="146">
        <f>O191</f>
        <v>0</v>
      </c>
    </row>
    <row r="192" spans="1:20" ht="33.75" x14ac:dyDescent="0.2">
      <c r="A192" s="234"/>
      <c r="B192" s="212"/>
      <c r="C192" s="211"/>
      <c r="D192" s="10" t="s">
        <v>144</v>
      </c>
      <c r="E192" s="11">
        <v>44366</v>
      </c>
      <c r="F192" s="11">
        <v>44456</v>
      </c>
      <c r="G192" s="8"/>
      <c r="H192" s="32"/>
      <c r="I192" s="44"/>
      <c r="J192" s="44"/>
      <c r="K192" s="18"/>
      <c r="L192" s="18"/>
      <c r="M192" s="18"/>
      <c r="N192" s="18"/>
      <c r="O192" s="44"/>
      <c r="P192" s="18"/>
      <c r="Q192" s="44"/>
      <c r="R192" s="44"/>
      <c r="S192" s="44"/>
    </row>
    <row r="193" spans="1:19" ht="33.75" x14ac:dyDescent="0.2">
      <c r="A193" s="234"/>
      <c r="B193" s="212"/>
      <c r="C193" s="211"/>
      <c r="D193" s="10" t="s">
        <v>145</v>
      </c>
      <c r="E193" s="11">
        <v>44486</v>
      </c>
      <c r="F193" s="11">
        <v>44486</v>
      </c>
      <c r="G193" s="8"/>
      <c r="H193" s="32"/>
      <c r="I193" s="44"/>
      <c r="J193" s="44"/>
      <c r="K193" s="18"/>
      <c r="L193" s="18"/>
      <c r="M193" s="18"/>
      <c r="N193" s="18"/>
      <c r="O193" s="44"/>
      <c r="P193" s="18"/>
      <c r="Q193" s="44"/>
      <c r="R193" s="44"/>
      <c r="S193" s="44"/>
    </row>
    <row r="194" spans="1:19" ht="67.5" x14ac:dyDescent="0.2">
      <c r="A194" s="234" t="s">
        <v>126</v>
      </c>
      <c r="B194" s="212" t="s">
        <v>78</v>
      </c>
      <c r="C194" s="37" t="s">
        <v>10</v>
      </c>
      <c r="D194" s="10" t="s">
        <v>180</v>
      </c>
      <c r="E194" s="11">
        <v>44197</v>
      </c>
      <c r="F194" s="11">
        <v>44316</v>
      </c>
      <c r="G194" s="8"/>
      <c r="H194" s="43"/>
      <c r="I194" s="128"/>
      <c r="J194" s="44"/>
      <c r="K194" s="18"/>
      <c r="L194" s="18"/>
      <c r="M194" s="18"/>
      <c r="N194" s="18"/>
      <c r="O194" s="44"/>
      <c r="P194" s="18"/>
      <c r="Q194" s="44"/>
      <c r="R194" s="44"/>
      <c r="S194" s="44"/>
    </row>
    <row r="195" spans="1:19" x14ac:dyDescent="0.2">
      <c r="A195" s="234"/>
      <c r="B195" s="212"/>
      <c r="C195" s="37"/>
      <c r="D195" s="214" t="s">
        <v>181</v>
      </c>
      <c r="E195" s="202">
        <v>44319</v>
      </c>
      <c r="F195" s="202">
        <v>44498</v>
      </c>
      <c r="G195" s="9">
        <v>730613</v>
      </c>
      <c r="H195" s="42">
        <v>7000</v>
      </c>
      <c r="I195" s="181">
        <v>-1939.35</v>
      </c>
      <c r="J195" s="44">
        <f t="shared" ref="J195:J198" si="0">H195+I195</f>
        <v>5060.6499999999996</v>
      </c>
      <c r="K195" s="18" t="s">
        <v>460</v>
      </c>
      <c r="L195" s="18" t="s">
        <v>392</v>
      </c>
      <c r="M195" s="124">
        <v>44385</v>
      </c>
      <c r="N195" s="122" t="s">
        <v>393</v>
      </c>
      <c r="O195" s="44">
        <f>5060.65-3146.92-1913.73</f>
        <v>0</v>
      </c>
      <c r="P195" s="18">
        <v>5400003229</v>
      </c>
      <c r="Q195" s="44">
        <v>3146.92</v>
      </c>
      <c r="R195" s="44">
        <v>443.2</v>
      </c>
      <c r="S195" s="44">
        <f t="shared" ref="S195:S198" si="1">J195-O195-Q195</f>
        <v>1913.7299999999996</v>
      </c>
    </row>
    <row r="196" spans="1:19" ht="22.5" x14ac:dyDescent="0.2">
      <c r="A196" s="234"/>
      <c r="B196" s="212"/>
      <c r="C196" s="37"/>
      <c r="D196" s="214"/>
      <c r="E196" s="202"/>
      <c r="F196" s="202"/>
      <c r="G196" s="9">
        <v>730811</v>
      </c>
      <c r="H196" s="42">
        <v>2800</v>
      </c>
      <c r="I196" s="181"/>
      <c r="J196" s="44">
        <f t="shared" si="0"/>
        <v>2800</v>
      </c>
      <c r="K196" s="18" t="s">
        <v>410</v>
      </c>
      <c r="L196" s="109" t="s">
        <v>362</v>
      </c>
      <c r="M196" s="124">
        <v>44315</v>
      </c>
      <c r="N196" s="122" t="s">
        <v>363</v>
      </c>
      <c r="O196" s="44">
        <f>2800-2499.26-0.02</f>
        <v>300.7199999999998</v>
      </c>
      <c r="P196" s="18">
        <v>4500000683</v>
      </c>
      <c r="Q196" s="44">
        <v>2499.2600000000002</v>
      </c>
      <c r="R196" s="44">
        <v>2499.2600000000002</v>
      </c>
      <c r="S196" s="44">
        <f t="shared" si="1"/>
        <v>1.999999999998181E-2</v>
      </c>
    </row>
    <row r="197" spans="1:19" x14ac:dyDescent="0.2">
      <c r="A197" s="234"/>
      <c r="B197" s="212"/>
      <c r="C197" s="37"/>
      <c r="D197" s="214"/>
      <c r="E197" s="202"/>
      <c r="F197" s="202"/>
      <c r="G197" s="9">
        <v>730812</v>
      </c>
      <c r="H197" s="42">
        <v>3000</v>
      </c>
      <c r="I197" s="181">
        <v>-1000</v>
      </c>
      <c r="J197" s="44">
        <f t="shared" si="0"/>
        <v>2000</v>
      </c>
      <c r="K197" s="18"/>
      <c r="L197" s="18"/>
      <c r="M197" s="18"/>
      <c r="N197" s="18"/>
      <c r="O197" s="44"/>
      <c r="P197" s="18"/>
      <c r="Q197" s="44"/>
      <c r="R197" s="44"/>
      <c r="S197" s="44">
        <f t="shared" si="1"/>
        <v>2000</v>
      </c>
    </row>
    <row r="198" spans="1:19" x14ac:dyDescent="0.2">
      <c r="A198" s="234"/>
      <c r="B198" s="212"/>
      <c r="C198" s="37"/>
      <c r="D198" s="214"/>
      <c r="E198" s="202"/>
      <c r="F198" s="202"/>
      <c r="G198" s="9">
        <v>730505</v>
      </c>
      <c r="H198" s="42">
        <v>4000</v>
      </c>
      <c r="I198" s="181">
        <v>-4000</v>
      </c>
      <c r="J198" s="44">
        <f t="shared" si="0"/>
        <v>0</v>
      </c>
      <c r="K198" s="18"/>
      <c r="L198" s="18"/>
      <c r="M198" s="18"/>
      <c r="N198" s="18"/>
      <c r="O198" s="44"/>
      <c r="P198" s="18"/>
      <c r="Q198" s="44"/>
      <c r="R198" s="44"/>
      <c r="S198" s="44">
        <f t="shared" si="1"/>
        <v>0</v>
      </c>
    </row>
    <row r="199" spans="1:19" ht="78.75" x14ac:dyDescent="0.2">
      <c r="A199" s="234"/>
      <c r="B199" s="212"/>
      <c r="C199" s="37"/>
      <c r="D199" s="10" t="s">
        <v>182</v>
      </c>
      <c r="E199" s="11">
        <v>44501</v>
      </c>
      <c r="F199" s="11">
        <v>44530</v>
      </c>
      <c r="G199" s="8"/>
      <c r="H199" s="43"/>
      <c r="I199" s="128"/>
      <c r="J199" s="44"/>
      <c r="K199" s="18"/>
      <c r="L199" s="18"/>
      <c r="M199" s="18"/>
      <c r="N199" s="18"/>
      <c r="O199" s="44"/>
      <c r="P199" s="18"/>
      <c r="Q199" s="44"/>
      <c r="R199" s="44"/>
      <c r="S199" s="44"/>
    </row>
    <row r="200" spans="1:19" ht="45" x14ac:dyDescent="0.2">
      <c r="A200" s="234"/>
      <c r="B200" s="212" t="s">
        <v>79</v>
      </c>
      <c r="C200" s="37" t="s">
        <v>10</v>
      </c>
      <c r="D200" s="10" t="s">
        <v>183</v>
      </c>
      <c r="E200" s="11">
        <v>44197</v>
      </c>
      <c r="F200" s="11">
        <v>44316</v>
      </c>
      <c r="G200" s="8"/>
      <c r="H200" s="43"/>
      <c r="I200" s="128"/>
      <c r="J200" s="44"/>
      <c r="K200" s="18"/>
      <c r="L200" s="18"/>
      <c r="M200" s="18"/>
      <c r="N200" s="18"/>
      <c r="O200" s="44"/>
      <c r="P200" s="18"/>
      <c r="Q200" s="44"/>
      <c r="R200" s="44"/>
      <c r="S200" s="44"/>
    </row>
    <row r="201" spans="1:19" x14ac:dyDescent="0.2">
      <c r="A201" s="234"/>
      <c r="B201" s="212"/>
      <c r="C201" s="37"/>
      <c r="D201" s="214" t="s">
        <v>184</v>
      </c>
      <c r="E201" s="202">
        <v>44319</v>
      </c>
      <c r="F201" s="202">
        <v>44498</v>
      </c>
      <c r="G201" s="9">
        <v>730613</v>
      </c>
      <c r="H201" s="42">
        <v>6000</v>
      </c>
      <c r="I201" s="181">
        <v>-939.35</v>
      </c>
      <c r="J201" s="44">
        <f t="shared" ref="J201:J202" si="2">H201+I201</f>
        <v>5060.6499999999996</v>
      </c>
      <c r="K201" s="18" t="s">
        <v>460</v>
      </c>
      <c r="L201" s="18" t="s">
        <v>392</v>
      </c>
      <c r="M201" s="124">
        <v>44385</v>
      </c>
      <c r="N201" s="122" t="s">
        <v>393</v>
      </c>
      <c r="O201" s="44">
        <f>5060.65-3146.92-1913.73</f>
        <v>0</v>
      </c>
      <c r="P201" s="18">
        <v>5400003229</v>
      </c>
      <c r="Q201" s="44">
        <v>3146.92</v>
      </c>
      <c r="R201" s="44"/>
      <c r="S201" s="44">
        <f t="shared" ref="S201:S202" si="3">J201-O201-Q201</f>
        <v>1913.7299999999996</v>
      </c>
    </row>
    <row r="202" spans="1:19" x14ac:dyDescent="0.2">
      <c r="A202" s="234"/>
      <c r="B202" s="212"/>
      <c r="C202" s="37"/>
      <c r="D202" s="214"/>
      <c r="E202" s="202"/>
      <c r="F202" s="202"/>
      <c r="G202" s="9">
        <v>730812</v>
      </c>
      <c r="H202" s="42">
        <v>4000</v>
      </c>
      <c r="I202" s="181">
        <v>-2000</v>
      </c>
      <c r="J202" s="44">
        <f t="shared" si="2"/>
        <v>2000</v>
      </c>
      <c r="K202" s="18"/>
      <c r="L202" s="18"/>
      <c r="M202" s="18"/>
      <c r="N202" s="18"/>
      <c r="O202" s="44"/>
      <c r="P202" s="18"/>
      <c r="Q202" s="44"/>
      <c r="R202" s="44"/>
      <c r="S202" s="44">
        <f t="shared" si="3"/>
        <v>2000</v>
      </c>
    </row>
    <row r="203" spans="1:19" ht="56.25" x14ac:dyDescent="0.2">
      <c r="A203" s="234"/>
      <c r="B203" s="212"/>
      <c r="C203" s="37"/>
      <c r="D203" s="10" t="s">
        <v>185</v>
      </c>
      <c r="E203" s="11">
        <v>44501</v>
      </c>
      <c r="F203" s="11">
        <v>44530</v>
      </c>
      <c r="G203" s="8"/>
      <c r="H203" s="43"/>
      <c r="I203" s="128"/>
      <c r="J203" s="44"/>
      <c r="K203" s="18"/>
      <c r="L203" s="18"/>
      <c r="M203" s="18"/>
      <c r="N203" s="18"/>
      <c r="O203" s="44"/>
      <c r="P203" s="18"/>
      <c r="Q203" s="44"/>
      <c r="R203" s="44"/>
      <c r="S203" s="44"/>
    </row>
    <row r="204" spans="1:19" ht="45" x14ac:dyDescent="0.2">
      <c r="A204" s="234"/>
      <c r="B204" s="212" t="s">
        <v>80</v>
      </c>
      <c r="C204" s="37" t="s">
        <v>10</v>
      </c>
      <c r="D204" s="10" t="s">
        <v>186</v>
      </c>
      <c r="E204" s="11">
        <v>44197</v>
      </c>
      <c r="F204" s="11">
        <v>44316</v>
      </c>
      <c r="G204" s="8"/>
      <c r="H204" s="43"/>
      <c r="I204" s="128"/>
      <c r="J204" s="44"/>
      <c r="K204" s="18"/>
      <c r="L204" s="18"/>
      <c r="M204" s="18"/>
      <c r="N204" s="18"/>
      <c r="O204" s="44"/>
      <c r="P204" s="18"/>
      <c r="Q204" s="44"/>
      <c r="R204" s="44"/>
      <c r="S204" s="44"/>
    </row>
    <row r="205" spans="1:19" ht="45" x14ac:dyDescent="0.2">
      <c r="A205" s="234"/>
      <c r="B205" s="212"/>
      <c r="C205" s="37"/>
      <c r="D205" s="10" t="s">
        <v>187</v>
      </c>
      <c r="E205" s="11">
        <v>44319</v>
      </c>
      <c r="F205" s="11">
        <v>44498</v>
      </c>
      <c r="G205" s="9">
        <v>730807</v>
      </c>
      <c r="H205" s="42">
        <v>10000</v>
      </c>
      <c r="I205" s="181">
        <v>-5000</v>
      </c>
      <c r="J205" s="44">
        <f t="shared" ref="J205" si="4">H205+I205</f>
        <v>5000</v>
      </c>
      <c r="K205" s="18"/>
      <c r="L205" s="109" t="s">
        <v>506</v>
      </c>
      <c r="M205" s="124">
        <v>44533</v>
      </c>
      <c r="N205" s="125" t="s">
        <v>507</v>
      </c>
      <c r="O205" s="44">
        <v>3999</v>
      </c>
      <c r="P205" s="18"/>
      <c r="Q205" s="44"/>
      <c r="R205" s="44"/>
      <c r="S205" s="44">
        <f t="shared" ref="S205" si="5">J205-O205-Q205</f>
        <v>1001</v>
      </c>
    </row>
    <row r="206" spans="1:19" ht="56.25" x14ac:dyDescent="0.2">
      <c r="A206" s="234"/>
      <c r="B206" s="212"/>
      <c r="C206" s="37"/>
      <c r="D206" s="10" t="s">
        <v>188</v>
      </c>
      <c r="E206" s="11">
        <v>44501</v>
      </c>
      <c r="F206" s="11">
        <v>44530</v>
      </c>
      <c r="G206" s="8"/>
      <c r="H206" s="43"/>
      <c r="I206" s="128"/>
      <c r="J206" s="44"/>
      <c r="K206" s="18"/>
      <c r="L206" s="18"/>
      <c r="M206" s="18"/>
      <c r="N206" s="18"/>
      <c r="O206" s="44"/>
      <c r="P206" s="18"/>
      <c r="Q206" s="44"/>
      <c r="R206" s="44"/>
      <c r="S206" s="44"/>
    </row>
    <row r="207" spans="1:19" ht="33.75" x14ac:dyDescent="0.2">
      <c r="A207" s="234"/>
      <c r="B207" s="212" t="s">
        <v>81</v>
      </c>
      <c r="C207" s="37" t="s">
        <v>10</v>
      </c>
      <c r="D207" s="10" t="s">
        <v>189</v>
      </c>
      <c r="E207" s="11">
        <v>44197</v>
      </c>
      <c r="F207" s="11">
        <v>44316</v>
      </c>
      <c r="G207" s="8"/>
      <c r="H207" s="43"/>
      <c r="I207" s="128"/>
      <c r="J207" s="44"/>
      <c r="K207" s="18"/>
      <c r="L207" s="18"/>
      <c r="M207" s="18"/>
      <c r="N207" s="18"/>
      <c r="O207" s="44"/>
      <c r="P207" s="18"/>
      <c r="Q207" s="44"/>
      <c r="R207" s="44"/>
      <c r="S207" s="44"/>
    </row>
    <row r="208" spans="1:19" x14ac:dyDescent="0.2">
      <c r="A208" s="234"/>
      <c r="B208" s="212"/>
      <c r="C208" s="37"/>
      <c r="D208" s="214" t="s">
        <v>190</v>
      </c>
      <c r="E208" s="202">
        <v>44319</v>
      </c>
      <c r="F208" s="202">
        <v>44498</v>
      </c>
      <c r="G208" s="9">
        <v>730613</v>
      </c>
      <c r="H208" s="42">
        <v>15000</v>
      </c>
      <c r="I208" s="181">
        <v>-31.87</v>
      </c>
      <c r="J208" s="44">
        <f t="shared" ref="J208:J210" si="6">H208+I208</f>
        <v>14968.13</v>
      </c>
      <c r="K208" s="18" t="s">
        <v>460</v>
      </c>
      <c r="L208" s="18" t="s">
        <v>392</v>
      </c>
      <c r="M208" s="124">
        <v>44385</v>
      </c>
      <c r="N208" s="122" t="s">
        <v>393</v>
      </c>
      <c r="O208" s="44">
        <f>14968.13-9307.68-5660.45</f>
        <v>0</v>
      </c>
      <c r="P208" s="18">
        <v>5400003229</v>
      </c>
      <c r="Q208" s="44">
        <v>9307.68</v>
      </c>
      <c r="R208" s="44"/>
      <c r="S208" s="44">
        <f t="shared" ref="S208:S210" si="7">J208-O208-Q208</f>
        <v>5660.4499999999989</v>
      </c>
    </row>
    <row r="209" spans="1:19" x14ac:dyDescent="0.2">
      <c r="A209" s="234"/>
      <c r="B209" s="212"/>
      <c r="C209" s="37"/>
      <c r="D209" s="214"/>
      <c r="E209" s="202"/>
      <c r="F209" s="202"/>
      <c r="G209" s="9">
        <v>730812</v>
      </c>
      <c r="H209" s="42">
        <v>5000</v>
      </c>
      <c r="I209" s="181"/>
      <c r="J209" s="44">
        <f t="shared" si="6"/>
        <v>5000</v>
      </c>
      <c r="K209" s="18"/>
      <c r="L209" s="18"/>
      <c r="M209" s="18"/>
      <c r="N209" s="18"/>
      <c r="O209" s="44"/>
      <c r="P209" s="18"/>
      <c r="Q209" s="44"/>
      <c r="R209" s="44"/>
      <c r="S209" s="44">
        <f t="shared" si="7"/>
        <v>5000</v>
      </c>
    </row>
    <row r="210" spans="1:19" x14ac:dyDescent="0.2">
      <c r="A210" s="234"/>
      <c r="B210" s="212"/>
      <c r="C210" s="37"/>
      <c r="D210" s="214"/>
      <c r="E210" s="202"/>
      <c r="F210" s="202"/>
      <c r="G210" s="9">
        <v>730804</v>
      </c>
      <c r="H210" s="42">
        <v>5000</v>
      </c>
      <c r="I210" s="181"/>
      <c r="J210" s="44">
        <f t="shared" si="6"/>
        <v>5000</v>
      </c>
      <c r="K210" s="18"/>
      <c r="L210" s="109"/>
      <c r="M210" s="124"/>
      <c r="N210" s="139"/>
      <c r="O210" s="44"/>
      <c r="P210" s="18"/>
      <c r="Q210" s="44"/>
      <c r="R210" s="44"/>
      <c r="S210" s="44">
        <f t="shared" si="7"/>
        <v>5000</v>
      </c>
    </row>
    <row r="211" spans="1:19" ht="45" x14ac:dyDescent="0.2">
      <c r="A211" s="234"/>
      <c r="B211" s="212"/>
      <c r="C211" s="37"/>
      <c r="D211" s="10" t="s">
        <v>191</v>
      </c>
      <c r="E211" s="11">
        <v>44501</v>
      </c>
      <c r="F211" s="11">
        <v>44530</v>
      </c>
      <c r="G211" s="8"/>
      <c r="H211" s="43"/>
      <c r="I211" s="128"/>
      <c r="J211" s="44"/>
      <c r="K211" s="18"/>
      <c r="L211" s="18"/>
      <c r="M211" s="18"/>
      <c r="N211" s="18"/>
      <c r="O211" s="44"/>
      <c r="P211" s="18"/>
      <c r="Q211" s="44"/>
      <c r="R211" s="44"/>
      <c r="S211" s="44"/>
    </row>
    <row r="212" spans="1:19" x14ac:dyDescent="0.2">
      <c r="A212" s="220"/>
      <c r="B212" s="220"/>
      <c r="C212" s="220"/>
      <c r="D212" s="220"/>
      <c r="E212" s="220"/>
      <c r="F212" s="220"/>
      <c r="G212" s="221"/>
      <c r="H212" s="19">
        <f>SUM(H5:H211)</f>
        <v>1668492.67</v>
      </c>
      <c r="I212" s="19">
        <f t="shared" ref="I212" si="8">SUM(I196:I211)</f>
        <v>-12971.220000000001</v>
      </c>
      <c r="J212" s="19">
        <f>SUM(J5:J211)</f>
        <v>1653582.0999999996</v>
      </c>
      <c r="K212" s="205"/>
      <c r="L212" s="206"/>
      <c r="M212" s="206"/>
      <c r="N212" s="207"/>
      <c r="O212" s="19">
        <f>SUM(O5:O211)</f>
        <v>49299.72</v>
      </c>
      <c r="P212" s="20"/>
      <c r="Q212" s="19">
        <f t="shared" ref="Q212:S212" si="9">SUM(Q5:Q211)</f>
        <v>1374293.5399999998</v>
      </c>
      <c r="R212" s="19">
        <f t="shared" si="9"/>
        <v>1030606.5400000002</v>
      </c>
      <c r="S212" s="19">
        <f t="shared" si="9"/>
        <v>229988.84</v>
      </c>
    </row>
    <row r="213" spans="1:19" x14ac:dyDescent="0.2">
      <c r="A213" s="203"/>
      <c r="B213" s="203"/>
      <c r="C213" s="203"/>
      <c r="D213" s="203"/>
      <c r="E213" s="203"/>
      <c r="F213" s="203"/>
      <c r="G213" s="204"/>
      <c r="H213" s="26">
        <f>+H212</f>
        <v>1668492.67</v>
      </c>
      <c r="I213" s="21">
        <f>+I212</f>
        <v>-12971.220000000001</v>
      </c>
      <c r="J213" s="21">
        <f>+J212</f>
        <v>1653582.0999999996</v>
      </c>
      <c r="K213" s="208"/>
      <c r="L213" s="209"/>
      <c r="M213" s="209"/>
      <c r="N213" s="210"/>
      <c r="O213" s="26">
        <f>+O212</f>
        <v>49299.72</v>
      </c>
      <c r="P213" s="22"/>
      <c r="Q213" s="26">
        <f t="shared" ref="Q213:S213" si="10">+Q212</f>
        <v>1374293.5399999998</v>
      </c>
      <c r="R213" s="26">
        <f t="shared" si="10"/>
        <v>1030606.5400000002</v>
      </c>
      <c r="S213" s="26">
        <f t="shared" si="10"/>
        <v>229988.84</v>
      </c>
    </row>
    <row r="215" spans="1:19" ht="17.25" customHeight="1" x14ac:dyDescent="0.2">
      <c r="R215" s="90" t="s">
        <v>310</v>
      </c>
      <c r="S215" s="90"/>
    </row>
    <row r="220" spans="1:19" x14ac:dyDescent="0.2">
      <c r="F220" s="23"/>
      <c r="G220" s="23"/>
    </row>
    <row r="221" spans="1:19" x14ac:dyDescent="0.2">
      <c r="F221" s="23"/>
      <c r="G221" s="23"/>
    </row>
    <row r="222" spans="1:19" x14ac:dyDescent="0.2">
      <c r="F222" s="23"/>
      <c r="G222" s="23"/>
    </row>
    <row r="223" spans="1:19" x14ac:dyDescent="0.2">
      <c r="F223" s="23"/>
      <c r="G223" s="23"/>
    </row>
    <row r="224" spans="1:19" x14ac:dyDescent="0.2">
      <c r="F224" s="23"/>
      <c r="G224" s="23"/>
    </row>
    <row r="225" spans="6:7" x14ac:dyDescent="0.2">
      <c r="F225" s="23"/>
      <c r="G225" s="23"/>
    </row>
    <row r="226" spans="6:7" x14ac:dyDescent="0.2">
      <c r="F226" s="23"/>
      <c r="G226" s="23"/>
    </row>
    <row r="227" spans="6:7" x14ac:dyDescent="0.2">
      <c r="F227" s="23"/>
      <c r="G227" s="23"/>
    </row>
    <row r="228" spans="6:7" x14ac:dyDescent="0.2">
      <c r="F228" s="23"/>
      <c r="G228" s="23"/>
    </row>
    <row r="229" spans="6:7" x14ac:dyDescent="0.2">
      <c r="F229" s="23"/>
      <c r="G229" s="23"/>
    </row>
    <row r="230" spans="6:7" x14ac:dyDescent="0.2">
      <c r="F230" s="23"/>
      <c r="G230" s="23"/>
    </row>
    <row r="231" spans="6:7" x14ac:dyDescent="0.2">
      <c r="F231" s="23"/>
      <c r="G231" s="23"/>
    </row>
  </sheetData>
  <mergeCells count="70">
    <mergeCell ref="A212:G212"/>
    <mergeCell ref="K212:N212"/>
    <mergeCell ref="A213:G213"/>
    <mergeCell ref="K213:N213"/>
    <mergeCell ref="A194:A211"/>
    <mergeCell ref="B194:B199"/>
    <mergeCell ref="D195:D198"/>
    <mergeCell ref="E195:E198"/>
    <mergeCell ref="F195:F198"/>
    <mergeCell ref="B200:B203"/>
    <mergeCell ref="D201:D202"/>
    <mergeCell ref="E201:E202"/>
    <mergeCell ref="F201:F202"/>
    <mergeCell ref="B204:B206"/>
    <mergeCell ref="B207:B211"/>
    <mergeCell ref="D208:D210"/>
    <mergeCell ref="E208:E210"/>
    <mergeCell ref="F208:F210"/>
    <mergeCell ref="C191:C193"/>
    <mergeCell ref="C161:C164"/>
    <mergeCell ref="C165:C168"/>
    <mergeCell ref="C169:C172"/>
    <mergeCell ref="B173:B193"/>
    <mergeCell ref="C173:C175"/>
    <mergeCell ref="C176:C178"/>
    <mergeCell ref="C179:C181"/>
    <mergeCell ref="C182:C184"/>
    <mergeCell ref="C185:C187"/>
    <mergeCell ref="C188:C190"/>
    <mergeCell ref="C137:C140"/>
    <mergeCell ref="C141:C144"/>
    <mergeCell ref="C145:C148"/>
    <mergeCell ref="C149:C152"/>
    <mergeCell ref="C113:C116"/>
    <mergeCell ref="C117:C120"/>
    <mergeCell ref="C121:C124"/>
    <mergeCell ref="C125:C128"/>
    <mergeCell ref="C129:C132"/>
    <mergeCell ref="C37:C40"/>
    <mergeCell ref="C153:C156"/>
    <mergeCell ref="C157:C160"/>
    <mergeCell ref="C65:C68"/>
    <mergeCell ref="C69:C72"/>
    <mergeCell ref="C73:C76"/>
    <mergeCell ref="C77:C80"/>
    <mergeCell ref="C81:C84"/>
    <mergeCell ref="C85:C88"/>
    <mergeCell ref="C89:C92"/>
    <mergeCell ref="C93:C96"/>
    <mergeCell ref="C97:C100"/>
    <mergeCell ref="C101:C104"/>
    <mergeCell ref="C105:C108"/>
    <mergeCell ref="C109:C112"/>
    <mergeCell ref="C133:C136"/>
    <mergeCell ref="A5:A193"/>
    <mergeCell ref="B5:B172"/>
    <mergeCell ref="C5:C8"/>
    <mergeCell ref="C9:C12"/>
    <mergeCell ref="C13:C16"/>
    <mergeCell ref="C41:C44"/>
    <mergeCell ref="C45:C48"/>
    <mergeCell ref="C49:C52"/>
    <mergeCell ref="C53:C56"/>
    <mergeCell ref="C57:C60"/>
    <mergeCell ref="C61:C64"/>
    <mergeCell ref="C17:C20"/>
    <mergeCell ref="C21:C24"/>
    <mergeCell ref="C25:C28"/>
    <mergeCell ref="C29:C32"/>
    <mergeCell ref="C33:C36"/>
  </mergeCells>
  <pageMargins left="0.31496062992125984" right="0" top="0.55118110236220474" bottom="0.15748031496062992" header="0.31496062992125984" footer="0.31496062992125984"/>
  <pageSetup paperSize="9" scale="6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S17"/>
  <sheetViews>
    <sheetView topLeftCell="I1" workbookViewId="0">
      <selection activeCell="I12" sqref="I12"/>
    </sheetView>
  </sheetViews>
  <sheetFormatPr baseColWidth="10" defaultRowHeight="11.25" x14ac:dyDescent="0.2"/>
  <cols>
    <col min="1" max="1" width="13.42578125" style="5" customWidth="1"/>
    <col min="2" max="2" width="11.85546875" style="5" customWidth="1"/>
    <col min="3" max="3" width="9.5703125" style="5" customWidth="1"/>
    <col min="4" max="4" width="19" style="5" customWidth="1"/>
    <col min="5" max="5" width="7.28515625" style="5" hidden="1" customWidth="1"/>
    <col min="6" max="6" width="9.140625" style="5" hidden="1" customWidth="1"/>
    <col min="7" max="8" width="11.42578125" style="5"/>
    <col min="9" max="9" width="8.5703125" style="23" customWidth="1"/>
    <col min="10" max="10" width="11.42578125" style="23"/>
    <col min="11" max="11" width="11.42578125" style="5"/>
    <col min="12" max="12" width="16.28515625" style="5" customWidth="1"/>
    <col min="13" max="13" width="11.28515625" style="5" customWidth="1"/>
    <col min="14" max="14" width="10.28515625" style="5" customWidth="1"/>
    <col min="15" max="15" width="9.5703125" style="23" customWidth="1"/>
    <col min="16" max="16" width="13.5703125" style="5" customWidth="1"/>
    <col min="17" max="17" width="14.85546875" style="23" customWidth="1"/>
    <col min="18" max="18" width="10.42578125" style="23" customWidth="1"/>
    <col min="19" max="16384" width="11.42578125" style="5"/>
  </cols>
  <sheetData>
    <row r="1" spans="1:19" s="36" customFormat="1" ht="12.75" x14ac:dyDescent="0.2">
      <c r="A1" s="34" t="s">
        <v>146</v>
      </c>
      <c r="B1" s="34" t="s">
        <v>94</v>
      </c>
      <c r="C1" s="35"/>
      <c r="D1" s="35"/>
      <c r="E1" s="35"/>
      <c r="F1" s="35"/>
      <c r="G1" s="35"/>
      <c r="H1" s="35"/>
      <c r="I1" s="40"/>
      <c r="J1" s="40"/>
      <c r="O1" s="40"/>
      <c r="Q1" s="40"/>
      <c r="R1" s="40"/>
    </row>
    <row r="2" spans="1:19" s="36" customFormat="1" ht="12.75" x14ac:dyDescent="0.2">
      <c r="A2" s="34" t="s">
        <v>147</v>
      </c>
      <c r="B2" s="34" t="s">
        <v>149</v>
      </c>
      <c r="C2" s="34"/>
      <c r="D2" s="34"/>
      <c r="I2" s="40"/>
      <c r="J2" s="40"/>
      <c r="O2" s="40"/>
      <c r="Q2" s="40"/>
      <c r="R2" s="40"/>
    </row>
    <row r="3" spans="1:19" ht="4.5" customHeight="1" x14ac:dyDescent="0.2"/>
    <row r="4" spans="1:19" ht="30.75" customHeight="1" x14ac:dyDescent="0.2">
      <c r="A4" s="2" t="s">
        <v>0</v>
      </c>
      <c r="B4" s="2" t="s">
        <v>1</v>
      </c>
      <c r="C4" s="3" t="s">
        <v>2</v>
      </c>
      <c r="D4" s="3" t="s">
        <v>3</v>
      </c>
      <c r="E4" s="3" t="s">
        <v>4</v>
      </c>
      <c r="F4" s="3" t="s">
        <v>5</v>
      </c>
      <c r="G4" s="3" t="s">
        <v>6</v>
      </c>
      <c r="H4" s="3" t="s">
        <v>169</v>
      </c>
      <c r="I4" s="16" t="s">
        <v>154</v>
      </c>
      <c r="J4" s="16" t="s">
        <v>155</v>
      </c>
      <c r="K4" s="16" t="s">
        <v>156</v>
      </c>
      <c r="L4" s="16" t="s">
        <v>157</v>
      </c>
      <c r="M4" s="16" t="s">
        <v>158</v>
      </c>
      <c r="N4" s="16" t="s">
        <v>159</v>
      </c>
      <c r="O4" s="16" t="s">
        <v>160</v>
      </c>
      <c r="P4" s="16" t="s">
        <v>161</v>
      </c>
      <c r="Q4" s="16" t="s">
        <v>162</v>
      </c>
      <c r="R4" s="16" t="s">
        <v>163</v>
      </c>
      <c r="S4" s="16" t="s">
        <v>164</v>
      </c>
    </row>
    <row r="5" spans="1:19" ht="84.75" customHeight="1" x14ac:dyDescent="0.2">
      <c r="A5" s="234" t="s">
        <v>131</v>
      </c>
      <c r="B5" s="212" t="s">
        <v>95</v>
      </c>
      <c r="C5" s="213" t="s">
        <v>10</v>
      </c>
      <c r="D5" s="10" t="s">
        <v>193</v>
      </c>
      <c r="E5" s="11">
        <v>44197</v>
      </c>
      <c r="F5" s="11">
        <v>44561</v>
      </c>
      <c r="G5" s="8"/>
      <c r="H5" s="38"/>
      <c r="I5" s="44"/>
      <c r="J5" s="44"/>
      <c r="K5" s="18"/>
      <c r="L5" s="18"/>
      <c r="M5" s="18"/>
      <c r="N5" s="18"/>
      <c r="O5" s="44"/>
      <c r="P5" s="18"/>
      <c r="Q5" s="44"/>
      <c r="R5" s="44"/>
      <c r="S5" s="18"/>
    </row>
    <row r="6" spans="1:19" ht="90.75" customHeight="1" x14ac:dyDescent="0.2">
      <c r="A6" s="234"/>
      <c r="B6" s="212"/>
      <c r="C6" s="213"/>
      <c r="D6" s="10" t="s">
        <v>194</v>
      </c>
      <c r="E6" s="11">
        <v>44197</v>
      </c>
      <c r="F6" s="11">
        <v>44561</v>
      </c>
      <c r="G6" s="8"/>
      <c r="H6" s="38"/>
      <c r="I6" s="44"/>
      <c r="J6" s="44"/>
      <c r="K6" s="18"/>
      <c r="L6" s="18"/>
      <c r="M6" s="18"/>
      <c r="N6" s="18"/>
      <c r="O6" s="44"/>
      <c r="P6" s="18"/>
      <c r="Q6" s="44"/>
      <c r="R6" s="44"/>
      <c r="S6" s="18"/>
    </row>
    <row r="7" spans="1:19" x14ac:dyDescent="0.2">
      <c r="A7" s="234"/>
      <c r="B7" s="212"/>
      <c r="C7" s="213"/>
      <c r="D7" s="214" t="s">
        <v>195</v>
      </c>
      <c r="E7" s="202">
        <v>44197</v>
      </c>
      <c r="F7" s="202">
        <v>44561</v>
      </c>
      <c r="G7" s="9">
        <v>730812</v>
      </c>
      <c r="H7" s="45">
        <v>2000</v>
      </c>
      <c r="I7" s="45"/>
      <c r="J7" s="44">
        <f>H7+I7</f>
        <v>2000</v>
      </c>
      <c r="K7" s="18"/>
      <c r="L7" s="109"/>
      <c r="M7" s="18"/>
      <c r="N7" s="18"/>
      <c r="O7" s="44"/>
      <c r="P7" s="18"/>
      <c r="Q7" s="44"/>
      <c r="R7" s="44"/>
      <c r="S7" s="33">
        <f>J7-O7-Q7</f>
        <v>2000</v>
      </c>
    </row>
    <row r="8" spans="1:19" x14ac:dyDescent="0.2">
      <c r="A8" s="234"/>
      <c r="B8" s="212"/>
      <c r="C8" s="213"/>
      <c r="D8" s="214"/>
      <c r="E8" s="202"/>
      <c r="F8" s="202"/>
      <c r="G8" s="9">
        <v>730804</v>
      </c>
      <c r="H8" s="45">
        <v>1000</v>
      </c>
      <c r="I8" s="45"/>
      <c r="J8" s="44">
        <f t="shared" ref="J8:J13" si="0">H8+I8</f>
        <v>1000</v>
      </c>
      <c r="K8" s="18"/>
      <c r="L8" s="109"/>
      <c r="M8" s="124"/>
      <c r="N8" s="122"/>
      <c r="O8" s="44"/>
      <c r="P8" s="18"/>
      <c r="Q8" s="44"/>
      <c r="R8" s="44"/>
      <c r="S8" s="33">
        <f t="shared" ref="S8:S13" si="1">J8-O8-Q8</f>
        <v>1000</v>
      </c>
    </row>
    <row r="9" spans="1:19" x14ac:dyDescent="0.2">
      <c r="A9" s="234"/>
      <c r="B9" s="212"/>
      <c r="C9" s="213"/>
      <c r="D9" s="214"/>
      <c r="E9" s="202"/>
      <c r="F9" s="202"/>
      <c r="G9" s="9">
        <v>730807</v>
      </c>
      <c r="H9" s="45">
        <v>3000</v>
      </c>
      <c r="I9" s="45">
        <v>-3000</v>
      </c>
      <c r="J9" s="44">
        <f t="shared" si="0"/>
        <v>0</v>
      </c>
      <c r="K9" s="18"/>
      <c r="L9" s="18"/>
      <c r="M9" s="18"/>
      <c r="N9" s="18"/>
      <c r="O9" s="44"/>
      <c r="P9" s="18"/>
      <c r="Q9" s="44"/>
      <c r="R9" s="44"/>
      <c r="S9" s="33">
        <f t="shared" si="1"/>
        <v>0</v>
      </c>
    </row>
    <row r="10" spans="1:19" x14ac:dyDescent="0.2">
      <c r="A10" s="234"/>
      <c r="B10" s="212"/>
      <c r="C10" s="213"/>
      <c r="D10" s="214"/>
      <c r="E10" s="202"/>
      <c r="F10" s="202"/>
      <c r="G10" s="9">
        <v>840104</v>
      </c>
      <c r="H10" s="45"/>
      <c r="I10" s="45">
        <v>3000</v>
      </c>
      <c r="J10" s="44">
        <f t="shared" si="0"/>
        <v>3000</v>
      </c>
      <c r="K10" s="18"/>
      <c r="L10" s="18"/>
      <c r="M10" s="18"/>
      <c r="N10" s="18"/>
      <c r="O10" s="44"/>
      <c r="P10" s="18"/>
      <c r="Q10" s="44"/>
      <c r="R10" s="44"/>
      <c r="S10" s="33">
        <f t="shared" si="1"/>
        <v>3000</v>
      </c>
    </row>
    <row r="11" spans="1:19" x14ac:dyDescent="0.2">
      <c r="A11" s="234"/>
      <c r="B11" s="212"/>
      <c r="C11" s="213"/>
      <c r="D11" s="214"/>
      <c r="E11" s="202"/>
      <c r="F11" s="202"/>
      <c r="G11" s="9">
        <v>840107</v>
      </c>
      <c r="H11" s="45">
        <v>5000</v>
      </c>
      <c r="I11" s="45"/>
      <c r="J11" s="44">
        <f t="shared" si="0"/>
        <v>5000</v>
      </c>
      <c r="K11" s="18"/>
      <c r="L11" s="18"/>
      <c r="M11" s="18"/>
      <c r="N11" s="18"/>
      <c r="O11" s="44"/>
      <c r="P11" s="18"/>
      <c r="Q11" s="44"/>
      <c r="R11" s="44"/>
      <c r="S11" s="33">
        <f t="shared" si="1"/>
        <v>5000</v>
      </c>
    </row>
    <row r="12" spans="1:19" ht="22.5" x14ac:dyDescent="0.2">
      <c r="A12" s="234"/>
      <c r="B12" s="212"/>
      <c r="C12" s="213"/>
      <c r="D12" s="214" t="s">
        <v>196</v>
      </c>
      <c r="E12" s="202">
        <v>44197</v>
      </c>
      <c r="F12" s="202">
        <v>44561</v>
      </c>
      <c r="G12" s="9">
        <v>730811</v>
      </c>
      <c r="H12" s="45">
        <v>4000</v>
      </c>
      <c r="I12" s="45"/>
      <c r="J12" s="44">
        <f t="shared" si="0"/>
        <v>4000</v>
      </c>
      <c r="K12" s="109" t="s">
        <v>410</v>
      </c>
      <c r="L12" s="109" t="s">
        <v>367</v>
      </c>
      <c r="M12" s="124">
        <v>44315</v>
      </c>
      <c r="N12" s="122" t="s">
        <v>368</v>
      </c>
      <c r="O12" s="44">
        <f>4000-3571.27-17.81</f>
        <v>410.92</v>
      </c>
      <c r="P12" s="18">
        <v>4500000681</v>
      </c>
      <c r="Q12" s="44">
        <v>3571.27</v>
      </c>
      <c r="R12" s="44">
        <v>3571.27</v>
      </c>
      <c r="S12" s="33">
        <f t="shared" si="1"/>
        <v>17.809999999999945</v>
      </c>
    </row>
    <row r="13" spans="1:19" x14ac:dyDescent="0.2">
      <c r="A13" s="234"/>
      <c r="B13" s="212"/>
      <c r="C13" s="213"/>
      <c r="D13" s="214"/>
      <c r="E13" s="202"/>
      <c r="F13" s="202"/>
      <c r="G13" s="9">
        <v>730402</v>
      </c>
      <c r="H13" s="45">
        <v>25000</v>
      </c>
      <c r="I13" s="45"/>
      <c r="J13" s="44">
        <f t="shared" si="0"/>
        <v>25000</v>
      </c>
      <c r="K13" s="18"/>
      <c r="L13" s="18"/>
      <c r="M13" s="18"/>
      <c r="N13" s="18"/>
      <c r="O13" s="44"/>
      <c r="P13" s="18"/>
      <c r="Q13" s="44"/>
      <c r="R13" s="44"/>
      <c r="S13" s="33">
        <f t="shared" si="1"/>
        <v>25000</v>
      </c>
    </row>
    <row r="14" spans="1:19" x14ac:dyDescent="0.2">
      <c r="A14" s="220"/>
      <c r="B14" s="220"/>
      <c r="C14" s="220"/>
      <c r="D14" s="220"/>
      <c r="E14" s="220"/>
      <c r="F14" s="220"/>
      <c r="G14" s="221"/>
      <c r="H14" s="19">
        <f>SUM(H5:H13)</f>
        <v>40000</v>
      </c>
      <c r="I14" s="19">
        <f t="shared" ref="I14:J14" si="2">SUM(I5:I13)</f>
        <v>0</v>
      </c>
      <c r="J14" s="19">
        <f t="shared" si="2"/>
        <v>40000</v>
      </c>
      <c r="K14" s="205"/>
      <c r="L14" s="206"/>
      <c r="M14" s="206"/>
      <c r="N14" s="207"/>
      <c r="O14" s="19">
        <f t="shared" ref="O14" si="3">SUM(O5:O13)</f>
        <v>410.92</v>
      </c>
      <c r="P14" s="20"/>
      <c r="Q14" s="19">
        <f t="shared" ref="Q14" si="4">SUM(Q5:Q13)</f>
        <v>3571.27</v>
      </c>
      <c r="R14" s="19">
        <f t="shared" ref="R14" si="5">SUM(R5:R13)</f>
        <v>3571.27</v>
      </c>
      <c r="S14" s="19">
        <f t="shared" ref="S14" si="6">SUM(S5:S13)</f>
        <v>36017.81</v>
      </c>
    </row>
    <row r="15" spans="1:19" x14ac:dyDescent="0.2">
      <c r="A15" s="203"/>
      <c r="B15" s="203"/>
      <c r="C15" s="203"/>
      <c r="D15" s="203"/>
      <c r="E15" s="203"/>
      <c r="F15" s="203"/>
      <c r="G15" s="204"/>
      <c r="H15" s="26">
        <f>+H14</f>
        <v>40000</v>
      </c>
      <c r="I15" s="26">
        <f t="shared" ref="I15:J15" si="7">+I14</f>
        <v>0</v>
      </c>
      <c r="J15" s="26">
        <f t="shared" si="7"/>
        <v>40000</v>
      </c>
      <c r="K15" s="208"/>
      <c r="L15" s="209"/>
      <c r="M15" s="209"/>
      <c r="N15" s="210"/>
      <c r="O15" s="26">
        <f t="shared" ref="O15" si="8">+O14</f>
        <v>410.92</v>
      </c>
      <c r="P15" s="22"/>
      <c r="Q15" s="26">
        <f t="shared" ref="Q15" si="9">+Q14</f>
        <v>3571.27</v>
      </c>
      <c r="R15" s="26">
        <f t="shared" ref="R15" si="10">+R14</f>
        <v>3571.27</v>
      </c>
      <c r="S15" s="26">
        <f t="shared" ref="S15" si="11">+S14</f>
        <v>36017.81</v>
      </c>
    </row>
    <row r="17" spans="18:19" ht="12.75" x14ac:dyDescent="0.2">
      <c r="R17" s="131" t="s">
        <v>310</v>
      </c>
      <c r="S17" s="35"/>
    </row>
  </sheetData>
  <mergeCells count="13">
    <mergeCell ref="A14:G14"/>
    <mergeCell ref="K14:N14"/>
    <mergeCell ref="A15:G15"/>
    <mergeCell ref="K15:N15"/>
    <mergeCell ref="E7:E11"/>
    <mergeCell ref="F7:F11"/>
    <mergeCell ref="D12:D13"/>
    <mergeCell ref="E12:E13"/>
    <mergeCell ref="F12:F13"/>
    <mergeCell ref="A5:A13"/>
    <mergeCell ref="B5:B13"/>
    <mergeCell ref="C5:C13"/>
    <mergeCell ref="D7:D11"/>
  </mergeCells>
  <pageMargins left="0.31496062992125984" right="0" top="0.55118110236220474" bottom="0.15748031496062992" header="0.31496062992125984" footer="0.31496062992125984"/>
  <pageSetup scale="6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S18"/>
  <sheetViews>
    <sheetView topLeftCell="G1" workbookViewId="0">
      <selection activeCell="L7" sqref="L7"/>
    </sheetView>
  </sheetViews>
  <sheetFormatPr baseColWidth="10" defaultRowHeight="11.25" x14ac:dyDescent="0.2"/>
  <cols>
    <col min="1" max="3" width="11.42578125" style="5"/>
    <col min="4" max="4" width="24.28515625" style="5" customWidth="1"/>
    <col min="5" max="5" width="7.7109375" style="5" hidden="1" customWidth="1"/>
    <col min="6" max="6" width="8.5703125" style="5" hidden="1" customWidth="1"/>
    <col min="7" max="7" width="7.42578125" style="5" customWidth="1"/>
    <col min="8" max="9" width="8.5703125" style="23" customWidth="1"/>
    <col min="10" max="10" width="10.28515625" style="23" customWidth="1"/>
    <col min="11" max="11" width="14.28515625" style="5" customWidth="1"/>
    <col min="12" max="12" width="17" style="5" customWidth="1"/>
    <col min="13" max="13" width="8.7109375" style="5" customWidth="1"/>
    <col min="14" max="14" width="10" style="5" customWidth="1"/>
    <col min="15" max="15" width="10.85546875" style="23" customWidth="1"/>
    <col min="16" max="16" width="11.7109375" style="5" customWidth="1"/>
    <col min="17" max="17" width="13.85546875" style="23" customWidth="1"/>
    <col min="18" max="18" width="10.140625" style="23" customWidth="1"/>
    <col min="19" max="19" width="9.7109375" style="5" customWidth="1"/>
    <col min="20" max="16384" width="11.42578125" style="5"/>
  </cols>
  <sheetData>
    <row r="1" spans="1:19" s="1" customFormat="1" ht="12" x14ac:dyDescent="0.2">
      <c r="A1" s="12" t="s">
        <v>146</v>
      </c>
      <c r="B1" s="12" t="s">
        <v>94</v>
      </c>
      <c r="C1" s="13"/>
      <c r="D1" s="13"/>
      <c r="E1" s="13"/>
      <c r="F1" s="13"/>
      <c r="G1" s="13"/>
      <c r="H1" s="27"/>
      <c r="I1" s="28"/>
      <c r="J1" s="28"/>
      <c r="O1" s="28"/>
      <c r="Q1" s="28"/>
      <c r="R1" s="28"/>
    </row>
    <row r="2" spans="1:19" s="1" customFormat="1" ht="12" customHeight="1" x14ac:dyDescent="0.2">
      <c r="A2" s="12" t="s">
        <v>147</v>
      </c>
      <c r="B2" s="12" t="s">
        <v>98</v>
      </c>
      <c r="C2" s="12"/>
      <c r="D2" s="12"/>
      <c r="H2" s="28"/>
      <c r="I2" s="28"/>
      <c r="J2" s="28"/>
      <c r="O2" s="28"/>
      <c r="Q2" s="28"/>
      <c r="R2" s="28"/>
    </row>
    <row r="3" spans="1:19" ht="8.25" customHeight="1" x14ac:dyDescent="0.2"/>
    <row r="4" spans="1:19" ht="33.75" x14ac:dyDescent="0.2">
      <c r="A4" s="2" t="s">
        <v>0</v>
      </c>
      <c r="B4" s="2" t="s">
        <v>1</v>
      </c>
      <c r="C4" s="3" t="s">
        <v>2</v>
      </c>
      <c r="D4" s="3" t="s">
        <v>3</v>
      </c>
      <c r="E4" s="3" t="s">
        <v>4</v>
      </c>
      <c r="F4" s="3" t="s">
        <v>5</v>
      </c>
      <c r="G4" s="4" t="s">
        <v>6</v>
      </c>
      <c r="H4" s="24" t="s">
        <v>169</v>
      </c>
      <c r="I4" s="16" t="s">
        <v>154</v>
      </c>
      <c r="J4" s="16" t="s">
        <v>155</v>
      </c>
      <c r="K4" s="16" t="s">
        <v>156</v>
      </c>
      <c r="L4" s="16" t="s">
        <v>157</v>
      </c>
      <c r="M4" s="16" t="s">
        <v>158</v>
      </c>
      <c r="N4" s="16" t="s">
        <v>159</v>
      </c>
      <c r="O4" s="16" t="s">
        <v>160</v>
      </c>
      <c r="P4" s="16" t="s">
        <v>161</v>
      </c>
      <c r="Q4" s="16" t="s">
        <v>162</v>
      </c>
      <c r="R4" s="16" t="s">
        <v>163</v>
      </c>
      <c r="S4" s="16" t="s">
        <v>164</v>
      </c>
    </row>
    <row r="5" spans="1:19" ht="55.5" customHeight="1" x14ac:dyDescent="0.2">
      <c r="A5" s="234" t="s">
        <v>133</v>
      </c>
      <c r="B5" s="212" t="s">
        <v>99</v>
      </c>
      <c r="C5" s="37" t="s">
        <v>10</v>
      </c>
      <c r="D5" s="10" t="s">
        <v>171</v>
      </c>
      <c r="E5" s="11">
        <v>44197</v>
      </c>
      <c r="F5" s="11">
        <v>44561</v>
      </c>
      <c r="G5" s="8"/>
      <c r="H5" s="43"/>
      <c r="I5" s="44"/>
      <c r="J5" s="44"/>
      <c r="K5" s="18"/>
      <c r="L5" s="18"/>
      <c r="M5" s="18"/>
      <c r="N5" s="18"/>
      <c r="O5" s="44"/>
      <c r="P5" s="18"/>
      <c r="Q5" s="44"/>
      <c r="R5" s="44"/>
      <c r="S5" s="18"/>
    </row>
    <row r="6" spans="1:19" ht="39" customHeight="1" x14ac:dyDescent="0.2">
      <c r="A6" s="234"/>
      <c r="B6" s="212"/>
      <c r="C6" s="18"/>
      <c r="D6" s="10" t="s">
        <v>172</v>
      </c>
      <c r="E6" s="11">
        <v>44197</v>
      </c>
      <c r="F6" s="11">
        <v>44561</v>
      </c>
      <c r="G6" s="8"/>
      <c r="H6" s="43"/>
      <c r="I6" s="44"/>
      <c r="J6" s="44"/>
      <c r="K6" s="18"/>
      <c r="L6" s="18"/>
      <c r="M6" s="18"/>
      <c r="N6" s="18"/>
      <c r="O6" s="44"/>
      <c r="P6" s="18"/>
      <c r="Q6" s="44"/>
      <c r="R6" s="44"/>
      <c r="S6" s="18"/>
    </row>
    <row r="7" spans="1:19" ht="80.25" customHeight="1" x14ac:dyDescent="0.2">
      <c r="A7" s="234"/>
      <c r="B7" s="212"/>
      <c r="C7" s="18"/>
      <c r="D7" s="10" t="s">
        <v>173</v>
      </c>
      <c r="E7" s="11">
        <v>44197</v>
      </c>
      <c r="F7" s="11">
        <v>44561</v>
      </c>
      <c r="G7" s="9">
        <v>730811</v>
      </c>
      <c r="H7" s="42">
        <v>6000</v>
      </c>
      <c r="I7" s="42"/>
      <c r="J7" s="46">
        <f>H7+I7</f>
        <v>6000</v>
      </c>
      <c r="K7" s="109" t="s">
        <v>409</v>
      </c>
      <c r="L7" s="109" t="s">
        <v>366</v>
      </c>
      <c r="M7" s="124">
        <v>44315</v>
      </c>
      <c r="N7" s="122" t="s">
        <v>369</v>
      </c>
      <c r="O7" s="44">
        <f>6000-5353.84-4.19</f>
        <v>641.9699999999998</v>
      </c>
      <c r="P7" s="18">
        <v>4500000685</v>
      </c>
      <c r="Q7" s="44">
        <v>5353.84</v>
      </c>
      <c r="R7" s="44">
        <v>5353.84</v>
      </c>
      <c r="S7" s="33">
        <f>J7-O7-Q7</f>
        <v>4.1900000000005093</v>
      </c>
    </row>
    <row r="8" spans="1:19" ht="47.25" customHeight="1" x14ac:dyDescent="0.2">
      <c r="A8" s="234"/>
      <c r="B8" s="212"/>
      <c r="C8" s="18"/>
      <c r="D8" s="10" t="s">
        <v>174</v>
      </c>
      <c r="E8" s="11">
        <v>44256</v>
      </c>
      <c r="F8" s="11">
        <v>44439</v>
      </c>
      <c r="G8" s="8"/>
      <c r="H8" s="43"/>
      <c r="I8" s="44"/>
      <c r="J8" s="44"/>
      <c r="K8" s="18"/>
      <c r="L8" s="18"/>
      <c r="M8" s="18"/>
      <c r="N8" s="18"/>
      <c r="O8" s="44"/>
      <c r="P8" s="18"/>
      <c r="Q8" s="44"/>
      <c r="R8" s="44"/>
      <c r="S8" s="18"/>
    </row>
    <row r="9" spans="1:19" ht="72" customHeight="1" x14ac:dyDescent="0.2">
      <c r="A9" s="234"/>
      <c r="B9" s="212"/>
      <c r="C9" s="18"/>
      <c r="D9" s="10" t="s">
        <v>175</v>
      </c>
      <c r="E9" s="11">
        <v>44378</v>
      </c>
      <c r="F9" s="11">
        <v>44530</v>
      </c>
      <c r="G9" s="8"/>
      <c r="H9" s="43"/>
      <c r="I9" s="44"/>
      <c r="J9" s="44"/>
      <c r="K9" s="18"/>
      <c r="L9" s="18"/>
      <c r="M9" s="18"/>
      <c r="N9" s="18"/>
      <c r="O9" s="44"/>
      <c r="P9" s="18"/>
      <c r="Q9" s="44"/>
      <c r="R9" s="44"/>
      <c r="S9" s="18"/>
    </row>
    <row r="10" spans="1:19" ht="63.75" customHeight="1" x14ac:dyDescent="0.2">
      <c r="A10" s="234"/>
      <c r="B10" s="212" t="s">
        <v>100</v>
      </c>
      <c r="C10" s="37" t="s">
        <v>10</v>
      </c>
      <c r="D10" s="10" t="s">
        <v>176</v>
      </c>
      <c r="E10" s="11">
        <v>44256</v>
      </c>
      <c r="F10" s="11">
        <v>44316</v>
      </c>
      <c r="G10" s="8"/>
      <c r="H10" s="43"/>
      <c r="I10" s="44"/>
      <c r="J10" s="44"/>
      <c r="K10" s="18"/>
      <c r="L10" s="18"/>
      <c r="M10" s="18"/>
      <c r="N10" s="18"/>
      <c r="O10" s="44"/>
      <c r="P10" s="18"/>
      <c r="Q10" s="44"/>
      <c r="R10" s="44"/>
      <c r="S10" s="18"/>
    </row>
    <row r="11" spans="1:19" ht="63.75" customHeight="1" x14ac:dyDescent="0.2">
      <c r="A11" s="234"/>
      <c r="B11" s="212"/>
      <c r="C11" s="18"/>
      <c r="D11" s="10" t="s">
        <v>177</v>
      </c>
      <c r="E11" s="11">
        <v>44317</v>
      </c>
      <c r="F11" s="11">
        <v>44377</v>
      </c>
      <c r="G11" s="8"/>
      <c r="H11" s="43"/>
      <c r="I11" s="44"/>
      <c r="J11" s="44"/>
      <c r="K11" s="18"/>
      <c r="L11" s="18"/>
      <c r="M11" s="18"/>
      <c r="N11" s="18"/>
      <c r="O11" s="44"/>
      <c r="P11" s="18"/>
      <c r="Q11" s="44"/>
      <c r="R11" s="44"/>
      <c r="S11" s="18"/>
    </row>
    <row r="12" spans="1:19" x14ac:dyDescent="0.2">
      <c r="A12" s="234"/>
      <c r="B12" s="212"/>
      <c r="C12" s="18"/>
      <c r="D12" s="214" t="s">
        <v>178</v>
      </c>
      <c r="E12" s="202">
        <v>44410</v>
      </c>
      <c r="F12" s="202">
        <v>44469</v>
      </c>
      <c r="G12" s="9">
        <v>730613</v>
      </c>
      <c r="H12" s="42">
        <v>13000</v>
      </c>
      <c r="I12" s="134">
        <v>-4375.51</v>
      </c>
      <c r="J12" s="46">
        <f t="shared" ref="J12:J13" si="0">H12+I12</f>
        <v>8624.49</v>
      </c>
      <c r="K12" s="18" t="s">
        <v>460</v>
      </c>
      <c r="L12" s="18" t="s">
        <v>394</v>
      </c>
      <c r="M12" s="124">
        <v>44385</v>
      </c>
      <c r="N12" s="122" t="s">
        <v>393</v>
      </c>
      <c r="O12" s="44">
        <f>8624.49-5363.06-3261.43</f>
        <v>0</v>
      </c>
      <c r="P12" s="18">
        <v>5400003229</v>
      </c>
      <c r="Q12" s="44">
        <v>5363.06</v>
      </c>
      <c r="R12" s="44"/>
      <c r="S12" s="33">
        <f t="shared" ref="S12:S13" si="1">J12-O12-Q12</f>
        <v>3261.4299999999994</v>
      </c>
    </row>
    <row r="13" spans="1:19" x14ac:dyDescent="0.2">
      <c r="A13" s="234"/>
      <c r="B13" s="212"/>
      <c r="C13" s="18"/>
      <c r="D13" s="214"/>
      <c r="E13" s="202"/>
      <c r="F13" s="202"/>
      <c r="G13" s="9">
        <v>730812</v>
      </c>
      <c r="H13" s="42">
        <v>1000</v>
      </c>
      <c r="I13" s="42"/>
      <c r="J13" s="46">
        <f t="shared" si="0"/>
        <v>1000</v>
      </c>
      <c r="K13" s="18"/>
      <c r="L13" s="18"/>
      <c r="M13" s="18"/>
      <c r="N13" s="18"/>
      <c r="O13" s="44"/>
      <c r="P13" s="18"/>
      <c r="Q13" s="44"/>
      <c r="R13" s="44"/>
      <c r="S13" s="33">
        <f t="shared" si="1"/>
        <v>1000</v>
      </c>
    </row>
    <row r="14" spans="1:19" ht="105" customHeight="1" x14ac:dyDescent="0.2">
      <c r="A14" s="234"/>
      <c r="B14" s="212"/>
      <c r="C14" s="18"/>
      <c r="D14" s="10" t="s">
        <v>179</v>
      </c>
      <c r="E14" s="11">
        <v>44470</v>
      </c>
      <c r="F14" s="11">
        <v>44499</v>
      </c>
      <c r="G14" s="8"/>
      <c r="H14" s="43"/>
      <c r="I14" s="44"/>
      <c r="J14" s="44"/>
      <c r="K14" s="18"/>
      <c r="L14" s="18"/>
      <c r="M14" s="18"/>
      <c r="N14" s="18"/>
      <c r="O14" s="44"/>
      <c r="P14" s="18"/>
      <c r="Q14" s="44"/>
      <c r="R14" s="44"/>
      <c r="S14" s="18"/>
    </row>
    <row r="15" spans="1:19" x14ac:dyDescent="0.2">
      <c r="A15" s="220"/>
      <c r="B15" s="220"/>
      <c r="C15" s="220"/>
      <c r="D15" s="220"/>
      <c r="E15" s="220"/>
      <c r="F15" s="220"/>
      <c r="G15" s="221"/>
      <c r="H15" s="19">
        <f>SUM(H5:H14)</f>
        <v>20000</v>
      </c>
      <c r="I15" s="19">
        <f t="shared" ref="I15:J15" si="2">SUM(I7:I14)</f>
        <v>-4375.51</v>
      </c>
      <c r="J15" s="19">
        <f t="shared" si="2"/>
        <v>15624.49</v>
      </c>
      <c r="K15" s="205"/>
      <c r="L15" s="206"/>
      <c r="M15" s="206"/>
      <c r="N15" s="207"/>
      <c r="O15" s="19">
        <f t="shared" ref="O15" si="3">SUM(O7:O14)</f>
        <v>641.9699999999998</v>
      </c>
      <c r="P15" s="20"/>
      <c r="Q15" s="19">
        <f t="shared" ref="Q15" si="4">SUM(Q7:Q14)</f>
        <v>10716.900000000001</v>
      </c>
      <c r="R15" s="19">
        <f t="shared" ref="R15" si="5">SUM(R7:R14)</f>
        <v>5353.84</v>
      </c>
      <c r="S15" s="19">
        <f t="shared" ref="S15" si="6">SUM(S7:S14)</f>
        <v>4265.62</v>
      </c>
    </row>
    <row r="16" spans="1:19" x14ac:dyDescent="0.2">
      <c r="A16" s="203"/>
      <c r="B16" s="203"/>
      <c r="C16" s="203"/>
      <c r="D16" s="203"/>
      <c r="E16" s="203"/>
      <c r="F16" s="203"/>
      <c r="G16" s="204"/>
      <c r="H16" s="26">
        <f>+H15</f>
        <v>20000</v>
      </c>
      <c r="I16" s="26">
        <f t="shared" ref="I16:J16" si="7">+I15</f>
        <v>-4375.51</v>
      </c>
      <c r="J16" s="26">
        <f t="shared" si="7"/>
        <v>15624.49</v>
      </c>
      <c r="K16" s="208"/>
      <c r="L16" s="209"/>
      <c r="M16" s="209"/>
      <c r="N16" s="210"/>
      <c r="O16" s="26">
        <f t="shared" ref="O16" si="8">+O15</f>
        <v>641.9699999999998</v>
      </c>
      <c r="P16" s="22"/>
      <c r="Q16" s="26">
        <f t="shared" ref="Q16" si="9">+Q15</f>
        <v>10716.900000000001</v>
      </c>
      <c r="R16" s="26">
        <f t="shared" ref="R16" si="10">+R15</f>
        <v>5353.84</v>
      </c>
      <c r="S16" s="26">
        <f t="shared" ref="S16" si="11">+S15</f>
        <v>4265.62</v>
      </c>
    </row>
    <row r="18" spans="18:19" ht="12.75" x14ac:dyDescent="0.2">
      <c r="R18" s="131" t="s">
        <v>310</v>
      </c>
      <c r="S18" s="92"/>
    </row>
  </sheetData>
  <mergeCells count="10">
    <mergeCell ref="F12:F13"/>
    <mergeCell ref="A15:G15"/>
    <mergeCell ref="K15:N15"/>
    <mergeCell ref="A16:G16"/>
    <mergeCell ref="K16:N16"/>
    <mergeCell ref="A5:A14"/>
    <mergeCell ref="B5:B9"/>
    <mergeCell ref="B10:B14"/>
    <mergeCell ref="D12:D13"/>
    <mergeCell ref="E12:E13"/>
  </mergeCells>
  <pageMargins left="0.70866141732283472" right="0" top="0.55118110236220474" bottom="0.15748031496062992" header="0.31496062992125984" footer="0.31496062992125984"/>
  <pageSetup paperSize="9" scale="6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S14"/>
  <sheetViews>
    <sheetView workbookViewId="0">
      <selection activeCell="M10" sqref="M10"/>
    </sheetView>
  </sheetViews>
  <sheetFormatPr baseColWidth="10" defaultRowHeight="11.25" x14ac:dyDescent="0.2"/>
  <cols>
    <col min="1" max="1" width="15.28515625" style="5" customWidth="1"/>
    <col min="2" max="2" width="14.28515625" style="5" customWidth="1"/>
    <col min="3" max="3" width="11.42578125" style="5"/>
    <col min="4" max="4" width="18.7109375" style="5" customWidth="1"/>
    <col min="5" max="5" width="7.85546875" style="5" hidden="1" customWidth="1"/>
    <col min="6" max="6" width="9.140625" style="5" hidden="1" customWidth="1"/>
    <col min="7" max="7" width="9.5703125" style="5" customWidth="1"/>
    <col min="8" max="8" width="10" style="23" customWidth="1"/>
    <col min="9" max="9" width="8.7109375" style="23" customWidth="1"/>
    <col min="10" max="10" width="11" style="23" customWidth="1"/>
    <col min="11" max="11" width="11.42578125" style="5"/>
    <col min="12" max="12" width="14" style="5" customWidth="1"/>
    <col min="13" max="13" width="13.7109375" style="5" customWidth="1"/>
    <col min="14" max="14" width="11.42578125" style="5"/>
    <col min="15" max="15" width="11.42578125" style="23"/>
    <col min="16" max="16" width="12.85546875" style="5" customWidth="1"/>
    <col min="17" max="17" width="10.85546875" style="23" customWidth="1"/>
    <col min="18" max="18" width="10.5703125" style="23" customWidth="1"/>
    <col min="19" max="19" width="10.7109375" style="5" customWidth="1"/>
    <col min="20" max="16384" width="11.42578125" style="5"/>
  </cols>
  <sheetData>
    <row r="1" spans="1:19" s="36" customFormat="1" ht="12.75" x14ac:dyDescent="0.2">
      <c r="A1" s="34" t="s">
        <v>146</v>
      </c>
      <c r="B1" s="34" t="s">
        <v>94</v>
      </c>
      <c r="C1" s="35"/>
      <c r="D1" s="35"/>
      <c r="E1" s="35"/>
      <c r="F1" s="35"/>
      <c r="G1" s="35"/>
      <c r="H1" s="39"/>
      <c r="I1" s="40"/>
      <c r="J1" s="40"/>
      <c r="O1" s="40"/>
      <c r="Q1" s="40"/>
      <c r="R1" s="40"/>
    </row>
    <row r="2" spans="1:19" s="36" customFormat="1" ht="12.75" x14ac:dyDescent="0.2">
      <c r="A2" s="34" t="s">
        <v>147</v>
      </c>
      <c r="B2" s="34" t="s">
        <v>101</v>
      </c>
      <c r="C2" s="34"/>
      <c r="D2" s="34"/>
      <c r="H2" s="40"/>
      <c r="I2" s="40"/>
      <c r="J2" s="40"/>
      <c r="O2" s="40"/>
      <c r="Q2" s="40"/>
      <c r="R2" s="40"/>
    </row>
    <row r="3" spans="1:19" ht="7.5" customHeight="1" x14ac:dyDescent="0.2"/>
    <row r="4" spans="1:19" ht="33.75" x14ac:dyDescent="0.2">
      <c r="A4" s="2" t="s">
        <v>0</v>
      </c>
      <c r="B4" s="2" t="s">
        <v>1</v>
      </c>
      <c r="C4" s="3" t="s">
        <v>2</v>
      </c>
      <c r="D4" s="3" t="s">
        <v>3</v>
      </c>
      <c r="E4" s="3" t="s">
        <v>4</v>
      </c>
      <c r="F4" s="3" t="s">
        <v>5</v>
      </c>
      <c r="G4" s="4" t="s">
        <v>6</v>
      </c>
      <c r="H4" s="24" t="s">
        <v>169</v>
      </c>
      <c r="I4" s="16" t="s">
        <v>154</v>
      </c>
      <c r="J4" s="16" t="s">
        <v>155</v>
      </c>
      <c r="K4" s="16" t="s">
        <v>156</v>
      </c>
      <c r="L4" s="16" t="s">
        <v>157</v>
      </c>
      <c r="M4" s="16" t="s">
        <v>158</v>
      </c>
      <c r="N4" s="16" t="s">
        <v>159</v>
      </c>
      <c r="O4" s="16" t="s">
        <v>160</v>
      </c>
      <c r="P4" s="31" t="s">
        <v>161</v>
      </c>
      <c r="Q4" s="16" t="s">
        <v>162</v>
      </c>
      <c r="R4" s="16" t="s">
        <v>163</v>
      </c>
      <c r="S4" s="16" t="s">
        <v>164</v>
      </c>
    </row>
    <row r="5" spans="1:19" ht="11.25" customHeight="1" x14ac:dyDescent="0.2">
      <c r="A5" s="234" t="s">
        <v>134</v>
      </c>
      <c r="B5" s="212" t="s">
        <v>102</v>
      </c>
      <c r="C5" s="213" t="s">
        <v>10</v>
      </c>
      <c r="D5" s="214" t="s">
        <v>197</v>
      </c>
      <c r="E5" s="202">
        <v>44197</v>
      </c>
      <c r="F5" s="202">
        <v>44561</v>
      </c>
      <c r="G5" s="9">
        <v>730613</v>
      </c>
      <c r="H5" s="42">
        <v>3500</v>
      </c>
      <c r="I5" s="42"/>
      <c r="J5" s="44">
        <f>H5+I5</f>
        <v>3500</v>
      </c>
      <c r="K5" s="18" t="s">
        <v>460</v>
      </c>
      <c r="L5" s="18" t="s">
        <v>394</v>
      </c>
      <c r="M5" s="124">
        <v>44385</v>
      </c>
      <c r="N5" s="122" t="s">
        <v>393</v>
      </c>
      <c r="O5" s="44">
        <f>3492.56-2400-1092.56</f>
        <v>0</v>
      </c>
      <c r="P5" s="18">
        <v>5400003229</v>
      </c>
      <c r="Q5" s="44">
        <v>2400</v>
      </c>
      <c r="R5" s="44"/>
      <c r="S5" s="33">
        <f>J5-O5-Q5</f>
        <v>1100</v>
      </c>
    </row>
    <row r="6" spans="1:19" x14ac:dyDescent="0.2">
      <c r="A6" s="234"/>
      <c r="B6" s="212"/>
      <c r="C6" s="213"/>
      <c r="D6" s="214"/>
      <c r="E6" s="202"/>
      <c r="F6" s="202"/>
      <c r="G6" s="9">
        <v>730812</v>
      </c>
      <c r="H6" s="42">
        <v>1200</v>
      </c>
      <c r="I6" s="42"/>
      <c r="J6" s="44">
        <f>H6+I6</f>
        <v>1200</v>
      </c>
      <c r="K6" s="18"/>
      <c r="L6" s="18"/>
      <c r="M6" s="18"/>
      <c r="N6" s="18"/>
      <c r="O6" s="44"/>
      <c r="P6" s="18"/>
      <c r="Q6" s="44"/>
      <c r="R6" s="44"/>
      <c r="S6" s="33">
        <f>J6-O6-Q6</f>
        <v>1200</v>
      </c>
    </row>
    <row r="7" spans="1:19" ht="112.5" customHeight="1" x14ac:dyDescent="0.2">
      <c r="A7" s="234"/>
      <c r="B7" s="212"/>
      <c r="C7" s="213"/>
      <c r="D7" s="10" t="s">
        <v>198</v>
      </c>
      <c r="E7" s="11">
        <v>44197</v>
      </c>
      <c r="F7" s="11">
        <v>44561</v>
      </c>
      <c r="G7" s="8"/>
      <c r="H7" s="43"/>
      <c r="I7" s="44"/>
      <c r="J7" s="44"/>
      <c r="K7" s="18"/>
      <c r="L7" s="18"/>
      <c r="M7" s="18"/>
      <c r="N7" s="18"/>
      <c r="O7" s="44"/>
      <c r="P7" s="18"/>
      <c r="Q7" s="44"/>
      <c r="R7" s="44"/>
      <c r="S7" s="18"/>
    </row>
    <row r="8" spans="1:19" x14ac:dyDescent="0.2">
      <c r="A8" s="234"/>
      <c r="B8" s="212"/>
      <c r="C8" s="213"/>
      <c r="D8" s="214" t="s">
        <v>199</v>
      </c>
      <c r="E8" s="202">
        <v>44197</v>
      </c>
      <c r="F8" s="202">
        <v>44561</v>
      </c>
      <c r="G8" s="9">
        <v>730613</v>
      </c>
      <c r="H8" s="42">
        <v>2000</v>
      </c>
      <c r="I8" s="42"/>
      <c r="J8" s="44">
        <f t="shared" ref="J8:J10" si="0">H8+I8</f>
        <v>2000</v>
      </c>
      <c r="K8" s="18" t="s">
        <v>460</v>
      </c>
      <c r="L8" s="18" t="s">
        <v>394</v>
      </c>
      <c r="M8" s="124">
        <v>44385</v>
      </c>
      <c r="N8" s="122" t="s">
        <v>393</v>
      </c>
      <c r="O8" s="44">
        <f>1995.75-1012.86-982.89</f>
        <v>0</v>
      </c>
      <c r="P8" s="18">
        <v>5400003229</v>
      </c>
      <c r="Q8" s="44">
        <v>1012.86</v>
      </c>
      <c r="R8" s="44"/>
      <c r="S8" s="33">
        <f t="shared" ref="S8:S9" si="1">J8-O8-Q8</f>
        <v>987.14</v>
      </c>
    </row>
    <row r="9" spans="1:19" ht="22.5" x14ac:dyDescent="0.2">
      <c r="A9" s="234"/>
      <c r="B9" s="212"/>
      <c r="C9" s="213"/>
      <c r="D9" s="214"/>
      <c r="E9" s="202"/>
      <c r="F9" s="202"/>
      <c r="G9" s="9">
        <v>730811</v>
      </c>
      <c r="H9" s="42">
        <v>2400</v>
      </c>
      <c r="I9" s="42"/>
      <c r="J9" s="44">
        <f t="shared" si="0"/>
        <v>2400</v>
      </c>
      <c r="K9" s="109" t="s">
        <v>410</v>
      </c>
      <c r="L9" s="109" t="s">
        <v>370</v>
      </c>
      <c r="M9" s="124">
        <v>44315</v>
      </c>
      <c r="N9" s="122" t="s">
        <v>371</v>
      </c>
      <c r="O9" s="44">
        <f>2400-2142.84-0.21</f>
        <v>256.94999999999987</v>
      </c>
      <c r="P9" s="18">
        <v>4500000682</v>
      </c>
      <c r="Q9" s="44">
        <v>2142.84</v>
      </c>
      <c r="R9" s="44">
        <v>2142.84</v>
      </c>
      <c r="S9" s="33">
        <f t="shared" si="1"/>
        <v>0.21000000000003638</v>
      </c>
    </row>
    <row r="10" spans="1:19" ht="67.5" x14ac:dyDescent="0.2">
      <c r="A10" s="234"/>
      <c r="B10" s="212"/>
      <c r="C10" s="213"/>
      <c r="D10" s="10" t="s">
        <v>200</v>
      </c>
      <c r="E10" s="11">
        <v>44197</v>
      </c>
      <c r="F10" s="11">
        <v>44561</v>
      </c>
      <c r="G10" s="9">
        <v>730235</v>
      </c>
      <c r="H10" s="42">
        <v>500</v>
      </c>
      <c r="I10" s="135">
        <v>-500</v>
      </c>
      <c r="J10" s="46">
        <f t="shared" si="0"/>
        <v>0</v>
      </c>
      <c r="K10" s="18"/>
      <c r="L10" s="18"/>
      <c r="M10" s="18"/>
      <c r="N10" s="18"/>
      <c r="O10" s="44"/>
      <c r="P10" s="18"/>
      <c r="Q10" s="44"/>
      <c r="R10" s="44"/>
      <c r="S10" s="33">
        <f>J10-O10-Q10</f>
        <v>0</v>
      </c>
    </row>
    <row r="11" spans="1:19" x14ac:dyDescent="0.2">
      <c r="A11" s="220"/>
      <c r="B11" s="220"/>
      <c r="C11" s="220"/>
      <c r="D11" s="220"/>
      <c r="E11" s="220"/>
      <c r="F11" s="220"/>
      <c r="G11" s="221"/>
      <c r="H11" s="19">
        <f>SUM(H5:H10)</f>
        <v>9600</v>
      </c>
      <c r="I11" s="19">
        <f t="shared" ref="I11:J11" si="2">SUM(I5:I10)</f>
        <v>-500</v>
      </c>
      <c r="J11" s="19">
        <f t="shared" si="2"/>
        <v>9100</v>
      </c>
      <c r="K11" s="205"/>
      <c r="L11" s="206"/>
      <c r="M11" s="206"/>
      <c r="N11" s="207"/>
      <c r="O11" s="19">
        <f t="shared" ref="O11" si="3">SUM(O5:O10)</f>
        <v>256.94999999999987</v>
      </c>
      <c r="P11" s="20"/>
      <c r="Q11" s="19">
        <f t="shared" ref="Q11" si="4">SUM(Q5:Q10)</f>
        <v>5555.7000000000007</v>
      </c>
      <c r="R11" s="19">
        <f t="shared" ref="R11" si="5">SUM(R5:R10)</f>
        <v>2142.84</v>
      </c>
      <c r="S11" s="19">
        <f t="shared" ref="S11" si="6">SUM(S5:S10)</f>
        <v>3287.35</v>
      </c>
    </row>
    <row r="12" spans="1:19" x14ac:dyDescent="0.2">
      <c r="A12" s="203"/>
      <c r="B12" s="203"/>
      <c r="C12" s="203"/>
      <c r="D12" s="203"/>
      <c r="E12" s="203"/>
      <c r="F12" s="203"/>
      <c r="G12" s="204"/>
      <c r="H12" s="26">
        <f>+H11</f>
        <v>9600</v>
      </c>
      <c r="I12" s="26">
        <f t="shared" ref="I12:J12" si="7">+I11</f>
        <v>-500</v>
      </c>
      <c r="J12" s="26">
        <f t="shared" si="7"/>
        <v>9100</v>
      </c>
      <c r="K12" s="208"/>
      <c r="L12" s="209"/>
      <c r="M12" s="209"/>
      <c r="N12" s="210"/>
      <c r="O12" s="26">
        <f t="shared" ref="O12" si="8">+O11</f>
        <v>256.94999999999987</v>
      </c>
      <c r="P12" s="22"/>
      <c r="Q12" s="26">
        <f t="shared" ref="Q12" si="9">+Q11</f>
        <v>5555.7000000000007</v>
      </c>
      <c r="R12" s="26">
        <f t="shared" ref="R12" si="10">+R11</f>
        <v>2142.84</v>
      </c>
      <c r="S12" s="26">
        <f t="shared" ref="S12" si="11">+S11</f>
        <v>3287.35</v>
      </c>
    </row>
    <row r="14" spans="1:19" ht="12.75" x14ac:dyDescent="0.2">
      <c r="R14" s="131" t="s">
        <v>310</v>
      </c>
      <c r="S14" s="91"/>
    </row>
  </sheetData>
  <mergeCells count="13">
    <mergeCell ref="A12:G12"/>
    <mergeCell ref="K12:N12"/>
    <mergeCell ref="A11:G11"/>
    <mergeCell ref="K11:N11"/>
    <mergeCell ref="F5:F6"/>
    <mergeCell ref="D8:D9"/>
    <mergeCell ref="E8:E9"/>
    <mergeCell ref="F8:F9"/>
    <mergeCell ref="A5:A10"/>
    <mergeCell ref="B5:B10"/>
    <mergeCell ref="C5:C10"/>
    <mergeCell ref="D5:D6"/>
    <mergeCell ref="E5:E6"/>
  </mergeCells>
  <pageMargins left="0.31496062992125984" right="0" top="0.55118110236220474" bottom="0.15748031496062992" header="0.31496062992125984" footer="0.31496062992125984"/>
  <pageSetup scale="6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S12"/>
  <sheetViews>
    <sheetView workbookViewId="0">
      <selection activeCell="A20" sqref="A20"/>
    </sheetView>
  </sheetViews>
  <sheetFormatPr baseColWidth="10" defaultRowHeight="11.25" x14ac:dyDescent="0.2"/>
  <cols>
    <col min="1" max="1" width="19.85546875" style="5" customWidth="1"/>
    <col min="2" max="2" width="11.42578125" style="5"/>
    <col min="3" max="3" width="8.42578125" style="5" customWidth="1"/>
    <col min="4" max="4" width="20.5703125" style="5" customWidth="1"/>
    <col min="5" max="5" width="7.5703125" style="5" hidden="1" customWidth="1"/>
    <col min="6" max="6" width="8" style="5" hidden="1" customWidth="1"/>
    <col min="7" max="7" width="10" style="5" customWidth="1"/>
    <col min="8" max="10" width="11.42578125" style="23"/>
    <col min="11" max="11" width="11.42578125" style="5"/>
    <col min="12" max="12" width="13.85546875" style="5" customWidth="1"/>
    <col min="13" max="13" width="10.28515625" style="5" customWidth="1"/>
    <col min="14" max="14" width="9.85546875" style="5" customWidth="1"/>
    <col min="15" max="15" width="8.42578125" style="5" customWidth="1"/>
    <col min="16" max="16" width="10.5703125" style="5" customWidth="1"/>
    <col min="17" max="17" width="13.28515625" style="5" customWidth="1"/>
    <col min="18" max="18" width="10.140625" style="5" customWidth="1"/>
    <col min="19" max="16384" width="11.42578125" style="5"/>
  </cols>
  <sheetData>
    <row r="1" spans="1:19" s="36" customFormat="1" ht="12.75" x14ac:dyDescent="0.2">
      <c r="A1" s="34" t="s">
        <v>146</v>
      </c>
      <c r="B1" s="34" t="s">
        <v>94</v>
      </c>
      <c r="C1" s="35"/>
      <c r="D1" s="35"/>
      <c r="E1" s="35"/>
      <c r="F1" s="35"/>
      <c r="G1" s="35"/>
      <c r="H1" s="39"/>
      <c r="I1" s="40"/>
      <c r="J1" s="40"/>
    </row>
    <row r="2" spans="1:19" s="36" customFormat="1" ht="12.75" x14ac:dyDescent="0.2">
      <c r="A2" s="34" t="s">
        <v>147</v>
      </c>
      <c r="B2" s="34" t="s">
        <v>96</v>
      </c>
      <c r="C2" s="34"/>
      <c r="D2" s="34"/>
      <c r="H2" s="40"/>
      <c r="I2" s="40"/>
      <c r="J2" s="40"/>
    </row>
    <row r="3" spans="1:19" ht="9" customHeight="1" x14ac:dyDescent="0.2"/>
    <row r="4" spans="1:19" ht="33.75" customHeight="1" x14ac:dyDescent="0.2">
      <c r="A4" s="2" t="s">
        <v>0</v>
      </c>
      <c r="B4" s="2" t="s">
        <v>1</v>
      </c>
      <c r="C4" s="3" t="s">
        <v>2</v>
      </c>
      <c r="D4" s="3" t="s">
        <v>3</v>
      </c>
      <c r="E4" s="3" t="s">
        <v>4</v>
      </c>
      <c r="F4" s="3" t="s">
        <v>5</v>
      </c>
      <c r="G4" s="3" t="s">
        <v>6</v>
      </c>
      <c r="H4" s="41" t="s">
        <v>169</v>
      </c>
      <c r="I4" s="16" t="s">
        <v>154</v>
      </c>
      <c r="J4" s="16" t="s">
        <v>155</v>
      </c>
      <c r="K4" s="16" t="s">
        <v>156</v>
      </c>
      <c r="L4" s="16" t="s">
        <v>157</v>
      </c>
      <c r="M4" s="16" t="s">
        <v>158</v>
      </c>
      <c r="N4" s="16" t="s">
        <v>159</v>
      </c>
      <c r="O4" s="16" t="s">
        <v>160</v>
      </c>
      <c r="P4" s="31" t="s">
        <v>161</v>
      </c>
      <c r="Q4" s="31" t="s">
        <v>162</v>
      </c>
      <c r="R4" s="16" t="s">
        <v>163</v>
      </c>
      <c r="S4" s="16" t="s">
        <v>164</v>
      </c>
    </row>
    <row r="5" spans="1:19" ht="81.75" customHeight="1" x14ac:dyDescent="0.2">
      <c r="A5" s="234" t="s">
        <v>132</v>
      </c>
      <c r="B5" s="212" t="s">
        <v>97</v>
      </c>
      <c r="C5" s="213" t="s">
        <v>10</v>
      </c>
      <c r="D5" s="10" t="s">
        <v>201</v>
      </c>
      <c r="E5" s="11">
        <v>44256</v>
      </c>
      <c r="F5" s="11">
        <v>44377</v>
      </c>
      <c r="G5" s="9">
        <v>730613</v>
      </c>
      <c r="H5" s="42">
        <v>10000</v>
      </c>
      <c r="I5" s="134">
        <v>-3905.83</v>
      </c>
      <c r="J5" s="46">
        <f>H5+I5</f>
        <v>6094.17</v>
      </c>
      <c r="K5" s="18"/>
      <c r="L5" s="18" t="s">
        <v>394</v>
      </c>
      <c r="M5" s="124">
        <v>44385</v>
      </c>
      <c r="N5" s="122" t="s">
        <v>393</v>
      </c>
      <c r="O5" s="44">
        <f>6094.17-6094.17</f>
        <v>0</v>
      </c>
      <c r="P5" s="18"/>
      <c r="Q5" s="18"/>
      <c r="R5" s="18"/>
      <c r="S5" s="33">
        <f>J5-O5-Q5</f>
        <v>6094.17</v>
      </c>
    </row>
    <row r="6" spans="1:19" x14ac:dyDescent="0.2">
      <c r="A6" s="234"/>
      <c r="B6" s="212"/>
      <c r="C6" s="213"/>
      <c r="D6" s="214" t="s">
        <v>202</v>
      </c>
      <c r="E6" s="202">
        <v>44378</v>
      </c>
      <c r="F6" s="202">
        <v>44439</v>
      </c>
      <c r="G6" s="9">
        <v>730812</v>
      </c>
      <c r="H6" s="42">
        <v>15000</v>
      </c>
      <c r="I6" s="42"/>
      <c r="J6" s="44">
        <f t="shared" ref="J6:J7" si="0">H6+I6</f>
        <v>15000</v>
      </c>
      <c r="K6" s="18"/>
      <c r="L6" s="18"/>
      <c r="M6" s="18"/>
      <c r="N6" s="18"/>
      <c r="O6" s="44"/>
      <c r="P6" s="18"/>
      <c r="Q6" s="18"/>
      <c r="R6" s="18"/>
      <c r="S6" s="33">
        <f t="shared" ref="S6:S7" si="1">J6-O6-Q6</f>
        <v>15000</v>
      </c>
    </row>
    <row r="7" spans="1:19" x14ac:dyDescent="0.2">
      <c r="A7" s="234"/>
      <c r="B7" s="212"/>
      <c r="C7" s="213"/>
      <c r="D7" s="214"/>
      <c r="E7" s="202"/>
      <c r="F7" s="202"/>
      <c r="G7" s="9">
        <v>730613</v>
      </c>
      <c r="H7" s="42">
        <v>20000</v>
      </c>
      <c r="I7" s="134">
        <v>-2715.38</v>
      </c>
      <c r="J7" s="44">
        <f t="shared" si="0"/>
        <v>17284.62</v>
      </c>
      <c r="K7" s="18" t="s">
        <v>460</v>
      </c>
      <c r="L7" s="18" t="s">
        <v>394</v>
      </c>
      <c r="M7" s="124">
        <v>44385</v>
      </c>
      <c r="N7" s="122" t="s">
        <v>393</v>
      </c>
      <c r="O7" s="44">
        <f>17284.62-14537.88-2746.74</f>
        <v>0</v>
      </c>
      <c r="P7" s="18">
        <v>540003229</v>
      </c>
      <c r="Q7" s="44">
        <v>14537.88</v>
      </c>
      <c r="R7" s="18"/>
      <c r="S7" s="33">
        <f t="shared" si="1"/>
        <v>2746.74</v>
      </c>
    </row>
    <row r="8" spans="1:19" ht="33.75" x14ac:dyDescent="0.2">
      <c r="A8" s="234"/>
      <c r="B8" s="212"/>
      <c r="C8" s="213"/>
      <c r="D8" s="10" t="s">
        <v>203</v>
      </c>
      <c r="E8" s="11">
        <v>44440</v>
      </c>
      <c r="F8" s="11">
        <v>44469</v>
      </c>
      <c r="G8" s="8"/>
      <c r="H8" s="43"/>
      <c r="I8" s="44"/>
      <c r="J8" s="44"/>
      <c r="K8" s="18"/>
      <c r="L8" s="18"/>
      <c r="M8" s="18"/>
      <c r="N8" s="18"/>
      <c r="O8" s="44"/>
      <c r="P8" s="18"/>
      <c r="Q8" s="18"/>
      <c r="R8" s="18"/>
      <c r="S8" s="18"/>
    </row>
    <row r="9" spans="1:19" x14ac:dyDescent="0.2">
      <c r="A9" s="220"/>
      <c r="B9" s="220"/>
      <c r="C9" s="220"/>
      <c r="D9" s="220"/>
      <c r="E9" s="220"/>
      <c r="F9" s="220"/>
      <c r="G9" s="221"/>
      <c r="H9" s="19">
        <f>SUM(H5:H8)</f>
        <v>45000</v>
      </c>
      <c r="I9" s="19">
        <f t="shared" ref="I9" si="2">SUM(I3:I8)</f>
        <v>-6621.21</v>
      </c>
      <c r="J9" s="19">
        <f>SUM(J5:J8)</f>
        <v>38378.789999999994</v>
      </c>
      <c r="K9" s="205"/>
      <c r="L9" s="206"/>
      <c r="M9" s="206"/>
      <c r="N9" s="207"/>
      <c r="O9" s="19">
        <f>SUM(O5:O8)</f>
        <v>0</v>
      </c>
      <c r="P9" s="20"/>
      <c r="Q9" s="19">
        <f t="shared" ref="Q9:S9" si="3">SUM(Q5:Q8)</f>
        <v>14537.88</v>
      </c>
      <c r="R9" s="19">
        <f t="shared" si="3"/>
        <v>0</v>
      </c>
      <c r="S9" s="19">
        <f t="shared" si="3"/>
        <v>23840.909999999996</v>
      </c>
    </row>
    <row r="10" spans="1:19" x14ac:dyDescent="0.2">
      <c r="A10" s="203"/>
      <c r="B10" s="203"/>
      <c r="C10" s="203"/>
      <c r="D10" s="203"/>
      <c r="E10" s="203"/>
      <c r="F10" s="203"/>
      <c r="G10" s="204"/>
      <c r="H10" s="26">
        <f>+H9</f>
        <v>45000</v>
      </c>
      <c r="I10" s="26">
        <f t="shared" ref="I10" si="4">+I9</f>
        <v>-6621.21</v>
      </c>
      <c r="J10" s="26">
        <f>+J9</f>
        <v>38378.789999999994</v>
      </c>
      <c r="K10" s="208"/>
      <c r="L10" s="209"/>
      <c r="M10" s="209"/>
      <c r="N10" s="210"/>
      <c r="O10" s="26">
        <f>+O9</f>
        <v>0</v>
      </c>
      <c r="P10" s="22"/>
      <c r="Q10" s="26">
        <f t="shared" ref="Q10:S10" si="5">+Q9</f>
        <v>14537.88</v>
      </c>
      <c r="R10" s="26">
        <f t="shared" si="5"/>
        <v>0</v>
      </c>
      <c r="S10" s="26">
        <f t="shared" si="5"/>
        <v>23840.909999999996</v>
      </c>
    </row>
    <row r="12" spans="1:19" ht="12.75" x14ac:dyDescent="0.2">
      <c r="R12" s="92" t="s">
        <v>310</v>
      </c>
      <c r="S12" s="92"/>
    </row>
  </sheetData>
  <mergeCells count="10">
    <mergeCell ref="F6:F7"/>
    <mergeCell ref="A9:G9"/>
    <mergeCell ref="K9:N9"/>
    <mergeCell ref="A10:G10"/>
    <mergeCell ref="K10:N10"/>
    <mergeCell ref="A5:A8"/>
    <mergeCell ref="B5:B8"/>
    <mergeCell ref="C5:C8"/>
    <mergeCell ref="D6:D7"/>
    <mergeCell ref="E6:E7"/>
  </mergeCells>
  <pageMargins left="0.31496062992125984" right="0" top="0.55118110236220474" bottom="0.15748031496062992" header="0.31496062992125984" footer="0.31496062992125984"/>
  <pageSetup scale="6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S11"/>
  <sheetViews>
    <sheetView workbookViewId="0">
      <selection activeCell="D7" sqref="D7"/>
    </sheetView>
  </sheetViews>
  <sheetFormatPr baseColWidth="10" defaultRowHeight="11.25" x14ac:dyDescent="0.2"/>
  <cols>
    <col min="1" max="1" width="16" style="5" customWidth="1"/>
    <col min="2" max="2" width="10.140625" style="5" customWidth="1"/>
    <col min="3" max="3" width="9" style="5" customWidth="1"/>
    <col min="4" max="4" width="21.140625" style="5" customWidth="1"/>
    <col min="5" max="5" width="8.85546875" style="5" hidden="1" customWidth="1"/>
    <col min="6" max="6" width="8.7109375" style="5" hidden="1" customWidth="1"/>
    <col min="7" max="7" width="9.140625" style="5" customWidth="1"/>
    <col min="8" max="8" width="9.7109375" style="23" customWidth="1"/>
    <col min="9" max="9" width="11.42578125" style="23"/>
    <col min="10" max="10" width="10.5703125" style="23" customWidth="1"/>
    <col min="11" max="11" width="11.42578125" style="5"/>
    <col min="12" max="12" width="14.28515625" style="5" customWidth="1"/>
    <col min="13" max="13" width="10.7109375" style="5" customWidth="1"/>
    <col min="14" max="14" width="8.42578125" style="5" customWidth="1"/>
    <col min="15" max="15" width="10.28515625" style="5" customWidth="1"/>
    <col min="16" max="16" width="14.42578125" style="5" customWidth="1"/>
    <col min="17" max="17" width="14" style="5" customWidth="1"/>
    <col min="18" max="16384" width="11.42578125" style="5"/>
  </cols>
  <sheetData>
    <row r="1" spans="1:19" s="36" customFormat="1" ht="12.75" x14ac:dyDescent="0.2">
      <c r="A1" s="34" t="s">
        <v>146</v>
      </c>
      <c r="B1" s="34" t="s">
        <v>7</v>
      </c>
      <c r="C1" s="35"/>
      <c r="D1" s="35"/>
      <c r="E1" s="35"/>
      <c r="F1" s="35"/>
      <c r="G1" s="35"/>
      <c r="H1" s="39"/>
      <c r="I1" s="40"/>
      <c r="J1" s="40"/>
    </row>
    <row r="2" spans="1:19" s="36" customFormat="1" ht="12.75" x14ac:dyDescent="0.2">
      <c r="A2" s="34" t="s">
        <v>147</v>
      </c>
      <c r="B2" s="34" t="s">
        <v>8</v>
      </c>
      <c r="C2" s="34"/>
      <c r="H2" s="40"/>
      <c r="I2" s="40"/>
      <c r="J2" s="40"/>
    </row>
    <row r="3" spans="1:19" ht="8.25" customHeight="1" x14ac:dyDescent="0.2"/>
    <row r="4" spans="1:19" ht="44.25" customHeight="1" x14ac:dyDescent="0.2">
      <c r="A4" s="2" t="s">
        <v>0</v>
      </c>
      <c r="B4" s="2" t="s">
        <v>1</v>
      </c>
      <c r="C4" s="3" t="s">
        <v>2</v>
      </c>
      <c r="D4" s="3" t="s">
        <v>3</v>
      </c>
      <c r="E4" s="3" t="s">
        <v>4</v>
      </c>
      <c r="F4" s="3" t="s">
        <v>5</v>
      </c>
      <c r="G4" s="3" t="s">
        <v>6</v>
      </c>
      <c r="H4" s="41" t="s">
        <v>169</v>
      </c>
      <c r="I4" s="16" t="s">
        <v>154</v>
      </c>
      <c r="J4" s="16" t="s">
        <v>155</v>
      </c>
      <c r="K4" s="16" t="s">
        <v>156</v>
      </c>
      <c r="L4" s="16" t="s">
        <v>157</v>
      </c>
      <c r="M4" s="16" t="s">
        <v>158</v>
      </c>
      <c r="N4" s="16" t="s">
        <v>159</v>
      </c>
      <c r="O4" s="16" t="s">
        <v>160</v>
      </c>
      <c r="P4" s="16" t="s">
        <v>161</v>
      </c>
      <c r="Q4" s="16" t="s">
        <v>162</v>
      </c>
      <c r="R4" s="16" t="s">
        <v>163</v>
      </c>
      <c r="S4" s="16" t="s">
        <v>164</v>
      </c>
    </row>
    <row r="5" spans="1:19" ht="82.5" customHeight="1" x14ac:dyDescent="0.2">
      <c r="A5" s="234" t="s">
        <v>120</v>
      </c>
      <c r="B5" s="212" t="s">
        <v>9</v>
      </c>
      <c r="C5" s="213" t="s">
        <v>10</v>
      </c>
      <c r="D5" s="10" t="s">
        <v>204</v>
      </c>
      <c r="E5" s="11">
        <v>44197</v>
      </c>
      <c r="F5" s="11">
        <v>44561</v>
      </c>
      <c r="G5" s="8"/>
      <c r="H5" s="43"/>
      <c r="I5" s="44"/>
      <c r="J5" s="44"/>
      <c r="K5" s="18"/>
      <c r="L5" s="18"/>
      <c r="M5" s="18"/>
      <c r="N5" s="18"/>
      <c r="O5" s="18"/>
      <c r="P5" s="18"/>
      <c r="Q5" s="18"/>
      <c r="R5" s="18"/>
      <c r="S5" s="18"/>
    </row>
    <row r="6" spans="1:19" ht="70.5" customHeight="1" x14ac:dyDescent="0.2">
      <c r="A6" s="234"/>
      <c r="B6" s="212"/>
      <c r="C6" s="213"/>
      <c r="D6" s="10" t="s">
        <v>205</v>
      </c>
      <c r="E6" s="11">
        <v>44378</v>
      </c>
      <c r="F6" s="11">
        <v>44469</v>
      </c>
      <c r="G6" s="9">
        <v>730249</v>
      </c>
      <c r="H6" s="42">
        <v>3000</v>
      </c>
      <c r="I6" s="44"/>
      <c r="J6" s="46">
        <f>H6+I6</f>
        <v>3000</v>
      </c>
      <c r="K6" s="18"/>
      <c r="L6" s="18"/>
      <c r="M6" s="18"/>
      <c r="N6" s="18"/>
      <c r="O6" s="18"/>
      <c r="P6" s="18"/>
      <c r="Q6" s="18"/>
      <c r="R6" s="18"/>
      <c r="S6" s="33">
        <f>J6-O6-Q6</f>
        <v>3000</v>
      </c>
    </row>
    <row r="7" spans="1:19" ht="68.25" customHeight="1" x14ac:dyDescent="0.2">
      <c r="A7" s="234"/>
      <c r="B7" s="212"/>
      <c r="C7" s="213"/>
      <c r="D7" s="10" t="s">
        <v>206</v>
      </c>
      <c r="E7" s="11">
        <v>44470</v>
      </c>
      <c r="F7" s="11">
        <v>44561</v>
      </c>
      <c r="G7" s="9">
        <v>730249</v>
      </c>
      <c r="H7" s="42">
        <v>3000</v>
      </c>
      <c r="I7" s="44"/>
      <c r="J7" s="46">
        <f>H7+I7</f>
        <v>3000</v>
      </c>
      <c r="K7" s="18"/>
      <c r="L7" s="18"/>
      <c r="M7" s="18"/>
      <c r="N7" s="18"/>
      <c r="O7" s="18"/>
      <c r="P7" s="18"/>
      <c r="Q7" s="18"/>
      <c r="R7" s="18"/>
      <c r="S7" s="33">
        <f>J7-O7-Q7</f>
        <v>3000</v>
      </c>
    </row>
    <row r="8" spans="1:19" x14ac:dyDescent="0.2">
      <c r="A8" s="220"/>
      <c r="B8" s="220"/>
      <c r="C8" s="220"/>
      <c r="D8" s="220"/>
      <c r="E8" s="220"/>
      <c r="F8" s="220"/>
      <c r="G8" s="221"/>
      <c r="H8" s="19">
        <f>SUM(H5:H7)</f>
        <v>6000</v>
      </c>
      <c r="I8" s="19">
        <f t="shared" ref="I8:J8" si="0">SUM(I5:I7)</f>
        <v>0</v>
      </c>
      <c r="J8" s="19">
        <f t="shared" si="0"/>
        <v>6000</v>
      </c>
      <c r="K8" s="205"/>
      <c r="L8" s="206"/>
      <c r="M8" s="206"/>
      <c r="N8" s="207"/>
      <c r="O8" s="19">
        <f t="shared" ref="O8" si="1">SUM(O5:O7)</f>
        <v>0</v>
      </c>
      <c r="P8" s="19"/>
      <c r="Q8" s="19">
        <f t="shared" ref="Q8" si="2">SUM(Q4:Q7)</f>
        <v>0</v>
      </c>
      <c r="R8" s="19">
        <f t="shared" ref="R8" si="3">SUM(R4:R7)</f>
        <v>0</v>
      </c>
      <c r="S8" s="19">
        <f t="shared" ref="S8" si="4">SUM(S4:S7)</f>
        <v>6000</v>
      </c>
    </row>
    <row r="9" spans="1:19" x14ac:dyDescent="0.2">
      <c r="A9" s="203"/>
      <c r="B9" s="203"/>
      <c r="C9" s="203"/>
      <c r="D9" s="203"/>
      <c r="E9" s="203"/>
      <c r="F9" s="203"/>
      <c r="G9" s="204"/>
      <c r="H9" s="26">
        <f>+H8</f>
        <v>6000</v>
      </c>
      <c r="I9" s="26">
        <f t="shared" ref="I9:J9" si="5">+I8</f>
        <v>0</v>
      </c>
      <c r="J9" s="26">
        <f t="shared" si="5"/>
        <v>6000</v>
      </c>
      <c r="K9" s="208"/>
      <c r="L9" s="209"/>
      <c r="M9" s="209"/>
      <c r="N9" s="210"/>
      <c r="O9" s="26">
        <f t="shared" ref="O9" si="6">+O8</f>
        <v>0</v>
      </c>
      <c r="P9" s="26"/>
      <c r="Q9" s="26">
        <f t="shared" ref="Q9" si="7">+Q8</f>
        <v>0</v>
      </c>
      <c r="R9" s="26">
        <f t="shared" ref="R9" si="8">+R8</f>
        <v>0</v>
      </c>
      <c r="S9" s="26">
        <f t="shared" ref="S9" si="9">+S8</f>
        <v>6000</v>
      </c>
    </row>
    <row r="11" spans="1:19" ht="12.75" x14ac:dyDescent="0.2">
      <c r="R11" s="91" t="s">
        <v>310</v>
      </c>
      <c r="S11" s="91"/>
    </row>
  </sheetData>
  <mergeCells count="7">
    <mergeCell ref="A9:G9"/>
    <mergeCell ref="K9:N9"/>
    <mergeCell ref="A8:G8"/>
    <mergeCell ref="K8:N8"/>
    <mergeCell ref="A5:A7"/>
    <mergeCell ref="B5:B7"/>
    <mergeCell ref="C5:C7"/>
  </mergeCells>
  <pageMargins left="0.31496062992125984" right="0" top="0.55118110236220474" bottom="0.15748031496062992" header="0.31496062992125984" footer="0.31496062992125984"/>
  <pageSetup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5</vt:i4>
      </vt:variant>
    </vt:vector>
  </HeadingPairs>
  <TitlesOfParts>
    <vt:vector size="22" baseType="lpstr">
      <vt:lpstr>Resumen</vt:lpstr>
      <vt:lpstr>Gast. Administrativo</vt:lpstr>
      <vt:lpstr>Infraest.Comunitaria</vt:lpstr>
      <vt:lpstr>Pres. Participat</vt:lpstr>
      <vt:lpstr>Somos Quito</vt:lpstr>
      <vt:lpstr>Sist. Particip. Ciudadana</vt:lpstr>
      <vt:lpstr>Volunt.Quito Acción</vt:lpstr>
      <vt:lpstr>Colonias Vacacionales</vt:lpstr>
      <vt:lpstr>Agenda Cult.Metrop.</vt:lpstr>
      <vt:lpstr>Territorio y Cultura</vt:lpstr>
      <vt:lpstr>Promoc. Derech Grup Atención</vt:lpstr>
      <vt:lpstr>Segur.Aliment Calidad</vt:lpstr>
      <vt:lpstr>Sist.Integral.Promoc.Salud</vt:lpstr>
      <vt:lpstr>Manej.Fauna Urbana</vt:lpstr>
      <vt:lpstr>Prevenc.Situac.Conv.Pacífica</vt:lpstr>
      <vt:lpstr>Atención Emergencias</vt:lpstr>
      <vt:lpstr>Fomento Produc.Territorial</vt:lpstr>
      <vt:lpstr>ATRAS</vt:lpstr>
      <vt:lpstr>Resumen_A1</vt:lpstr>
      <vt:lpstr>'Gast. Administrativo'!Títulos_a_imprimir</vt:lpstr>
      <vt:lpstr>Infraest.Comunitaria!Títulos_a_imprimir</vt:lpstr>
      <vt:lpstr>'Pres. Participat'!Títulos_a_imprimir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Ramiro Javier Campana Lucero</dc:creator>
  <cp:lastModifiedBy>Ramiro Javier Campana Lucero</cp:lastModifiedBy>
  <cp:lastPrinted>2022-01-19T15:56:30Z</cp:lastPrinted>
  <dcterms:created xsi:type="dcterms:W3CDTF">2021-02-24T15:46:59Z</dcterms:created>
  <dcterms:modified xsi:type="dcterms:W3CDTF">2022-03-14T17:38:32Z</dcterms:modified>
</cp:coreProperties>
</file>